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ett\Documents\Year 3\MAAE2300\"/>
    </mc:Choice>
  </mc:AlternateContent>
  <bookViews>
    <workbookView xWindow="0" yWindow="0" windowWidth="23040" windowHeight="9384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0" i="1" l="1"/>
  <c r="C32" i="1"/>
  <c r="C27" i="1"/>
  <c r="C26" i="1" l="1"/>
  <c r="H13" i="1"/>
  <c r="H14" i="1"/>
  <c r="H15" i="1"/>
  <c r="H16" i="1"/>
  <c r="H17" i="1"/>
  <c r="H18" i="1"/>
  <c r="H12" i="1"/>
  <c r="C22" i="1"/>
  <c r="H6" i="1"/>
  <c r="H7" i="1"/>
  <c r="H8" i="1"/>
  <c r="H9" i="1"/>
  <c r="H10" i="1"/>
  <c r="H11" i="1"/>
  <c r="C21" i="1"/>
  <c r="G13" i="1"/>
  <c r="G14" i="1"/>
  <c r="G15" i="1"/>
  <c r="G16" i="1"/>
  <c r="G17" i="1"/>
  <c r="G18" i="1"/>
  <c r="G12" i="1"/>
  <c r="G6" i="1"/>
  <c r="G7" i="1"/>
  <c r="G8" i="1"/>
  <c r="G9" i="1"/>
  <c r="G10" i="1"/>
  <c r="G11" i="1"/>
  <c r="G5" i="1"/>
  <c r="G18" i="2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3" i="1"/>
  <c r="H5" i="1" l="1"/>
  <c r="M11" i="1"/>
  <c r="C42" i="1" s="1"/>
  <c r="C41" i="1"/>
  <c r="N11" i="1"/>
  <c r="C38" i="1" s="1"/>
  <c r="O3" i="1"/>
  <c r="J3" i="1"/>
  <c r="K3" i="1"/>
  <c r="N3" i="1"/>
  <c r="F11" i="1"/>
  <c r="O4" i="1"/>
  <c r="O5" i="1"/>
  <c r="O6" i="1"/>
  <c r="O7" i="1"/>
  <c r="O8" i="1"/>
  <c r="O9" i="1"/>
  <c r="O10" i="1"/>
  <c r="O11" i="1"/>
  <c r="C39" i="1" s="1"/>
  <c r="O12" i="1"/>
  <c r="O13" i="1"/>
  <c r="O14" i="1"/>
  <c r="O15" i="1"/>
  <c r="O16" i="1"/>
  <c r="O17" i="1"/>
  <c r="O18" i="1"/>
  <c r="N4" i="1"/>
  <c r="N5" i="1"/>
  <c r="N6" i="1"/>
  <c r="N7" i="1"/>
  <c r="N8" i="1"/>
  <c r="N9" i="1"/>
  <c r="N10" i="1"/>
  <c r="N12" i="1"/>
  <c r="N13" i="1"/>
  <c r="N14" i="1"/>
  <c r="N15" i="1"/>
  <c r="N16" i="1"/>
  <c r="N17" i="1"/>
  <c r="N18" i="1"/>
  <c r="M4" i="1"/>
  <c r="M5" i="1"/>
  <c r="M6" i="1"/>
  <c r="M7" i="1"/>
  <c r="M8" i="1"/>
  <c r="M9" i="1"/>
  <c r="M10" i="1"/>
  <c r="M12" i="1"/>
  <c r="M13" i="1"/>
  <c r="M14" i="1"/>
  <c r="M15" i="1"/>
  <c r="M16" i="1"/>
  <c r="M17" i="1"/>
  <c r="M18" i="1"/>
  <c r="M3" i="1"/>
  <c r="I3" i="1"/>
  <c r="J8" i="1"/>
  <c r="K8" i="1" s="1"/>
  <c r="I7" i="1"/>
  <c r="I9" i="1"/>
  <c r="J5" i="1"/>
  <c r="K5" i="1" s="1"/>
  <c r="L29" i="2"/>
  <c r="N29" i="2" s="1"/>
  <c r="R29" i="2" s="1"/>
  <c r="K29" i="2"/>
  <c r="M29" i="2"/>
  <c r="Q29" i="2" s="1"/>
  <c r="I29" i="2"/>
  <c r="J29" i="2"/>
  <c r="H29" i="2"/>
  <c r="K28" i="2"/>
  <c r="M28" i="2" s="1"/>
  <c r="L28" i="2"/>
  <c r="N28" i="2"/>
  <c r="R28" i="2" s="1"/>
  <c r="F28" i="2"/>
  <c r="G28" i="2"/>
  <c r="I28" i="2"/>
  <c r="J28" i="2"/>
  <c r="H28" i="2"/>
  <c r="L27" i="2"/>
  <c r="N27" i="2" s="1"/>
  <c r="R27" i="2" s="1"/>
  <c r="K27" i="2"/>
  <c r="F27" i="2"/>
  <c r="G27" i="2"/>
  <c r="L26" i="2"/>
  <c r="N26" i="2"/>
  <c r="R26" i="2" s="1"/>
  <c r="K26" i="2"/>
  <c r="M26" i="2" s="1"/>
  <c r="F26" i="2"/>
  <c r="G26" i="2"/>
  <c r="I26" i="2"/>
  <c r="J26" i="2"/>
  <c r="L25" i="2"/>
  <c r="N25" i="2"/>
  <c r="R25" i="2" s="1"/>
  <c r="K25" i="2"/>
  <c r="M25" i="2" s="1"/>
  <c r="F25" i="2"/>
  <c r="G25" i="2"/>
  <c r="K24" i="2"/>
  <c r="M24" i="2" s="1"/>
  <c r="L24" i="2"/>
  <c r="N24" i="2" s="1"/>
  <c r="R24" i="2" s="1"/>
  <c r="F24" i="2"/>
  <c r="G24" i="2"/>
  <c r="I24" i="2"/>
  <c r="J24" i="2"/>
  <c r="H24" i="2"/>
  <c r="L23" i="2"/>
  <c r="N23" i="2" s="1"/>
  <c r="R23" i="2" s="1"/>
  <c r="K23" i="2"/>
  <c r="F23" i="2"/>
  <c r="G23" i="2"/>
  <c r="L22" i="2"/>
  <c r="N22" i="2" s="1"/>
  <c r="R22" i="2" s="1"/>
  <c r="K22" i="2"/>
  <c r="M22" i="2" s="1"/>
  <c r="F22" i="2"/>
  <c r="G22" i="2"/>
  <c r="I22" i="2"/>
  <c r="J22" i="2"/>
  <c r="L21" i="2"/>
  <c r="N21" i="2"/>
  <c r="K21" i="2"/>
  <c r="M21" i="2" s="1"/>
  <c r="F21" i="2"/>
  <c r="G21" i="2"/>
  <c r="K20" i="2"/>
  <c r="M20" i="2" s="1"/>
  <c r="L20" i="2"/>
  <c r="N20" i="2"/>
  <c r="R20" i="2" s="1"/>
  <c r="F20" i="2"/>
  <c r="G20" i="2"/>
  <c r="I20" i="2"/>
  <c r="J20" i="2"/>
  <c r="H20" i="2"/>
  <c r="L19" i="2"/>
  <c r="N19" i="2" s="1"/>
  <c r="R19" i="2" s="1"/>
  <c r="K19" i="2"/>
  <c r="M19" i="2" s="1"/>
  <c r="F19" i="2"/>
  <c r="G19" i="2"/>
  <c r="L18" i="2"/>
  <c r="N18" i="2" s="1"/>
  <c r="R18" i="2" s="1"/>
  <c r="K18" i="2"/>
  <c r="M18" i="2" s="1"/>
  <c r="F18" i="2"/>
  <c r="I18" i="2"/>
  <c r="J18" i="2"/>
  <c r="L17" i="2"/>
  <c r="N17" i="2"/>
  <c r="P17" i="2" s="1"/>
  <c r="K17" i="2"/>
  <c r="M17" i="2"/>
  <c r="O17" i="2" s="1"/>
  <c r="F17" i="2"/>
  <c r="G17" i="2"/>
  <c r="K16" i="2"/>
  <c r="M16" i="2"/>
  <c r="O16" i="2" s="1"/>
  <c r="L16" i="2"/>
  <c r="N16" i="2"/>
  <c r="P16" i="2" s="1"/>
  <c r="F16" i="2"/>
  <c r="G16" i="2"/>
  <c r="I16" i="2"/>
  <c r="J16" i="2"/>
  <c r="H16" i="2"/>
  <c r="L15" i="2"/>
  <c r="N15" i="2" s="1"/>
  <c r="R15" i="2" s="1"/>
  <c r="K15" i="2"/>
  <c r="I15" i="2"/>
  <c r="J15" i="2"/>
  <c r="H15" i="2"/>
  <c r="K14" i="2"/>
  <c r="M14" i="2" s="1"/>
  <c r="L14" i="2"/>
  <c r="N14" i="2" s="1"/>
  <c r="I14" i="2"/>
  <c r="J14" i="2"/>
  <c r="H14" i="2"/>
  <c r="H17" i="2"/>
  <c r="I17" i="2"/>
  <c r="J17" i="2"/>
  <c r="I19" i="2"/>
  <c r="J19" i="2"/>
  <c r="H19" i="2"/>
  <c r="I25" i="2"/>
  <c r="J25" i="2"/>
  <c r="H25" i="2"/>
  <c r="I27" i="2"/>
  <c r="J27" i="2"/>
  <c r="H27" i="2"/>
  <c r="R21" i="2"/>
  <c r="H21" i="2"/>
  <c r="I21" i="2"/>
  <c r="J21" i="2"/>
  <c r="I23" i="2"/>
  <c r="J23" i="2"/>
  <c r="H23" i="2"/>
  <c r="H18" i="2"/>
  <c r="H22" i="2"/>
  <c r="H26" i="2"/>
  <c r="J4" i="1"/>
  <c r="K4" i="1" s="1"/>
  <c r="J18" i="1"/>
  <c r="K18" i="1" s="1"/>
  <c r="I4" i="1"/>
  <c r="I18" i="1"/>
  <c r="J17" i="1"/>
  <c r="K17" i="1" s="1"/>
  <c r="I17" i="1"/>
  <c r="I5" i="1"/>
  <c r="I16" i="1"/>
  <c r="J16" i="1"/>
  <c r="K16" i="1" s="1"/>
  <c r="J13" i="1"/>
  <c r="K13" i="1" s="1"/>
  <c r="I13" i="1"/>
  <c r="I12" i="1"/>
  <c r="J12" i="1"/>
  <c r="K12" i="1" s="1"/>
  <c r="I6" i="1"/>
  <c r="J6" i="1"/>
  <c r="K6" i="1" s="1"/>
  <c r="I14" i="1"/>
  <c r="J14" i="1"/>
  <c r="K14" i="1" s="1"/>
  <c r="I8" i="1"/>
  <c r="I15" i="1"/>
  <c r="J15" i="1"/>
  <c r="K15" i="1" s="1"/>
  <c r="J7" i="1"/>
  <c r="K7" i="1" s="1"/>
  <c r="I11" i="1"/>
  <c r="I10" i="1"/>
  <c r="J11" i="1"/>
  <c r="K11" i="1" s="1"/>
  <c r="J10" i="1"/>
  <c r="K10" i="1" s="1"/>
  <c r="S6" i="1" l="1"/>
  <c r="R4" i="1"/>
  <c r="P29" i="2"/>
  <c r="P27" i="2"/>
  <c r="P23" i="2"/>
  <c r="P20" i="2"/>
  <c r="R17" i="2"/>
  <c r="R16" i="2"/>
  <c r="P15" i="2"/>
  <c r="P14" i="2"/>
  <c r="R14" i="2"/>
  <c r="O29" i="2"/>
  <c r="O28" i="2"/>
  <c r="Q28" i="2"/>
  <c r="P28" i="2"/>
  <c r="M27" i="2"/>
  <c r="O26" i="2"/>
  <c r="Q26" i="2"/>
  <c r="P26" i="2"/>
  <c r="O25" i="2"/>
  <c r="Q25" i="2"/>
  <c r="P25" i="2"/>
  <c r="Q24" i="2"/>
  <c r="O24" i="2"/>
  <c r="P24" i="2"/>
  <c r="M23" i="2"/>
  <c r="Q22" i="2"/>
  <c r="O22" i="2"/>
  <c r="P22" i="2"/>
  <c r="O21" i="2"/>
  <c r="Q21" i="2"/>
  <c r="P21" i="2"/>
  <c r="O20" i="2"/>
  <c r="Q20" i="2"/>
  <c r="O19" i="2"/>
  <c r="Q19" i="2"/>
  <c r="P19" i="2"/>
  <c r="Q18" i="2"/>
  <c r="O18" i="2"/>
  <c r="P18" i="2"/>
  <c r="Q17" i="2"/>
  <c r="Q16" i="2"/>
  <c r="M15" i="2"/>
  <c r="O14" i="2"/>
  <c r="Q14" i="2"/>
  <c r="J9" i="1"/>
  <c r="K9" i="1" s="1"/>
  <c r="C29" i="1"/>
  <c r="Q4" i="1" s="1"/>
  <c r="P11" i="1"/>
  <c r="C44" i="1"/>
  <c r="C45" i="1"/>
  <c r="Q6" i="1"/>
  <c r="W6" i="1" s="1"/>
  <c r="S15" i="1"/>
  <c r="S9" i="1"/>
  <c r="S4" i="1"/>
  <c r="S3" i="1"/>
  <c r="S13" i="1"/>
  <c r="S8" i="1"/>
  <c r="S16" i="1"/>
  <c r="S11" i="1"/>
  <c r="S5" i="1"/>
  <c r="S17" i="1"/>
  <c r="S12" i="1"/>
  <c r="S7" i="1"/>
  <c r="U10" i="1"/>
  <c r="U12" i="1"/>
  <c r="U13" i="1"/>
  <c r="T15" i="1"/>
  <c r="U15" i="1"/>
  <c r="T10" i="1"/>
  <c r="T17" i="1"/>
  <c r="S18" i="1"/>
  <c r="S14" i="1"/>
  <c r="S10" i="1"/>
  <c r="U11" i="1"/>
  <c r="T11" i="1"/>
  <c r="U14" i="1"/>
  <c r="T6" i="1"/>
  <c r="T4" i="1"/>
  <c r="T12" i="1"/>
  <c r="U16" i="1"/>
  <c r="U6" i="1"/>
  <c r="U9" i="1"/>
  <c r="U17" i="1"/>
  <c r="T3" i="1"/>
  <c r="R18" i="1"/>
  <c r="R14" i="1"/>
  <c r="R10" i="1"/>
  <c r="R6" i="1"/>
  <c r="R3" i="1"/>
  <c r="R15" i="1"/>
  <c r="R11" i="1"/>
  <c r="U18" i="1"/>
  <c r="U3" i="1"/>
  <c r="T8" i="1"/>
  <c r="U4" i="1"/>
  <c r="T5" i="1"/>
  <c r="T16" i="1"/>
  <c r="T18" i="1"/>
  <c r="R17" i="1"/>
  <c r="R13" i="1"/>
  <c r="R9" i="1"/>
  <c r="R5" i="1"/>
  <c r="R7" i="1"/>
  <c r="T7" i="1"/>
  <c r="U7" i="1"/>
  <c r="T13" i="1"/>
  <c r="U8" i="1"/>
  <c r="T9" i="1"/>
  <c r="U5" i="1"/>
  <c r="T14" i="1"/>
  <c r="R16" i="1"/>
  <c r="R12" i="1"/>
  <c r="R8" i="1"/>
  <c r="W4" i="1" l="1"/>
  <c r="Q9" i="1"/>
  <c r="Q7" i="1"/>
  <c r="Q15" i="1"/>
  <c r="W15" i="1" s="1"/>
  <c r="C33" i="1"/>
  <c r="Q5" i="1"/>
  <c r="W5" i="1" s="1"/>
  <c r="Q27" i="2"/>
  <c r="O27" i="2"/>
  <c r="Q23" i="2"/>
  <c r="O23" i="2"/>
  <c r="O15" i="2"/>
  <c r="Q15" i="2"/>
  <c r="P3" i="1"/>
  <c r="Q17" i="1"/>
  <c r="W17" i="1" s="1"/>
  <c r="Q14" i="1"/>
  <c r="W14" i="1" s="1"/>
  <c r="Q16" i="1"/>
  <c r="W16" i="1" s="1"/>
  <c r="Q10" i="1"/>
  <c r="W10" i="1" s="1"/>
  <c r="Q18" i="1"/>
  <c r="W18" i="1" s="1"/>
  <c r="Q11" i="1"/>
  <c r="W11" i="1" s="1"/>
  <c r="Q12" i="1"/>
  <c r="W12" i="1" s="1"/>
  <c r="Q3" i="1"/>
  <c r="W3" i="1" s="1"/>
  <c r="Q8" i="1"/>
  <c r="W8" i="1" s="1"/>
  <c r="Q13" i="1"/>
  <c r="W13" i="1" s="1"/>
  <c r="P13" i="1"/>
  <c r="V13" i="1" s="1"/>
  <c r="P15" i="1"/>
  <c r="V15" i="1" s="1"/>
  <c r="P8" i="1"/>
  <c r="V8" i="1" s="1"/>
  <c r="P7" i="1"/>
  <c r="V7" i="1" s="1"/>
  <c r="P9" i="1"/>
  <c r="V9" i="1" s="1"/>
  <c r="P10" i="1"/>
  <c r="V10" i="1" s="1"/>
  <c r="P4" i="1"/>
  <c r="V4" i="1" s="1"/>
  <c r="V11" i="1"/>
  <c r="P17" i="1"/>
  <c r="V17" i="1" s="1"/>
  <c r="P18" i="1"/>
  <c r="V18" i="1" s="1"/>
  <c r="P14" i="1"/>
  <c r="V14" i="1" s="1"/>
  <c r="P5" i="1"/>
  <c r="V5" i="1" s="1"/>
  <c r="P6" i="1"/>
  <c r="V6" i="1" s="1"/>
  <c r="P12" i="1"/>
  <c r="V12" i="1" s="1"/>
  <c r="P16" i="1"/>
  <c r="V16" i="1" s="1"/>
  <c r="W7" i="1"/>
  <c r="W9" i="1"/>
  <c r="V3" i="1"/>
  <c r="C35" i="1" l="1"/>
  <c r="W19" i="1"/>
  <c r="C36" i="1"/>
  <c r="V19" i="1"/>
</calcChain>
</file>

<file path=xl/sharedStrings.xml><?xml version="1.0" encoding="utf-8"?>
<sst xmlns="http://schemas.openxmlformats.org/spreadsheetml/2006/main" count="62" uniqueCount="47">
  <si>
    <t>Static Tap#</t>
  </si>
  <si>
    <t>Flow 1 (mm)</t>
  </si>
  <si>
    <t>Flow 2 (mm)</t>
  </si>
  <si>
    <t>Inlet (mm)</t>
  </si>
  <si>
    <t>Throat (mm)</t>
  </si>
  <si>
    <t>Distance using Tap 2 as Ref</t>
  </si>
  <si>
    <t>Diameter</t>
  </si>
  <si>
    <t>Cross Sectional Area</t>
  </si>
  <si>
    <t>Diameter (m)</t>
  </si>
  <si>
    <t>Cross Sectional Area (m^2)</t>
  </si>
  <si>
    <t>Pstatic 1</t>
  </si>
  <si>
    <t>Pstatic 2</t>
  </si>
  <si>
    <t>Velocity actual</t>
  </si>
  <si>
    <t>Qideal1</t>
  </si>
  <si>
    <t>Qideal2</t>
  </si>
  <si>
    <t>Qactual Flow 1</t>
  </si>
  <si>
    <t>Qactual Flow 2</t>
  </si>
  <si>
    <t>Pressure Ideal Flow 1</t>
  </si>
  <si>
    <t>Pressure Ideal Flow 2</t>
  </si>
  <si>
    <t>CV Flow 1</t>
  </si>
  <si>
    <t>CV Flow 2</t>
  </si>
  <si>
    <t>N/A</t>
  </si>
  <si>
    <t>Ref</t>
  </si>
  <si>
    <t>Slope 1</t>
  </si>
  <si>
    <t>Slope 2</t>
  </si>
  <si>
    <t>Atmospheric manometer</t>
  </si>
  <si>
    <t>Velocity at Throat Flow 1</t>
  </si>
  <si>
    <t>Qideal Flow 1</t>
  </si>
  <si>
    <t>Velocity at Throat Flow 2</t>
  </si>
  <si>
    <t>Qideal Flow 2</t>
  </si>
  <si>
    <t>Average Q Flow 1</t>
  </si>
  <si>
    <t>Average Q Flow 2</t>
  </si>
  <si>
    <t>Cv Flow 1</t>
  </si>
  <si>
    <t>Cv Flow 2</t>
  </si>
  <si>
    <t>Dynamic Pressure Flow 1</t>
  </si>
  <si>
    <t>Dynamic Pressure Flow 2</t>
  </si>
  <si>
    <t>Static Pressure Flow 1</t>
  </si>
  <si>
    <t>Static Pressure Flow 2</t>
  </si>
  <si>
    <t>Stagnation Pressure Flow 1</t>
  </si>
  <si>
    <t>Stagnation Pressure Flow 2</t>
  </si>
  <si>
    <t>Flow 1</t>
  </si>
  <si>
    <t>Flow 2</t>
  </si>
  <si>
    <t>Inlet</t>
  </si>
  <si>
    <t>Throat</t>
  </si>
  <si>
    <t>Distance using Tap 1 as Ref</t>
  </si>
  <si>
    <t>Velocitie Flow 1</t>
  </si>
  <si>
    <t>Velocity Flow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</si>
</sst>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Stati</a:t>
            </a:r>
            <a:r>
              <a:rPr lang="en-CA" baseline="0"/>
              <a:t>c Pressure Distribution for Flow #1</a:t>
            </a:r>
            <a:endParaRPr lang="en-CA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Experimental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Sheet1!$B$3:$B$18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Sheet1!$L$3:$L$18</c:f>
              <c:numCache>
                <c:formatCode>General</c:formatCode>
                <c:ptCount val="16"/>
                <c:pt idx="0">
                  <c:v>100461.72</c:v>
                </c:pt>
                <c:pt idx="1">
                  <c:v>100461.72</c:v>
                </c:pt>
                <c:pt idx="2">
                  <c:v>100442.1</c:v>
                </c:pt>
                <c:pt idx="3">
                  <c:v>100226.28</c:v>
                </c:pt>
                <c:pt idx="4">
                  <c:v>100030.08</c:v>
                </c:pt>
                <c:pt idx="5">
                  <c:v>99598.44</c:v>
                </c:pt>
                <c:pt idx="6">
                  <c:v>99127.56</c:v>
                </c:pt>
                <c:pt idx="7">
                  <c:v>98440.86</c:v>
                </c:pt>
                <c:pt idx="8">
                  <c:v>96832.02</c:v>
                </c:pt>
                <c:pt idx="9">
                  <c:v>97302.9</c:v>
                </c:pt>
                <c:pt idx="10">
                  <c:v>98440.86</c:v>
                </c:pt>
                <c:pt idx="11">
                  <c:v>98892.12</c:v>
                </c:pt>
                <c:pt idx="12">
                  <c:v>99402.240000000005</c:v>
                </c:pt>
                <c:pt idx="13">
                  <c:v>99637.68</c:v>
                </c:pt>
                <c:pt idx="14">
                  <c:v>99833.88</c:v>
                </c:pt>
                <c:pt idx="15">
                  <c:v>100010.46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CAEF-4C5B-A722-06C882061036}"/>
            </c:ext>
          </c:extLst>
        </c:ser>
        <c:ser>
          <c:idx val="1"/>
          <c:order val="1"/>
          <c:tx>
            <c:v>Theoretical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Sheet1!$B$3:$B$18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Sheet1!$T$3:$T$18</c:f>
              <c:numCache>
                <c:formatCode>General</c:formatCode>
                <c:ptCount val="16"/>
                <c:pt idx="0">
                  <c:v>100461.72</c:v>
                </c:pt>
                <c:pt idx="1">
                  <c:v>100461.72</c:v>
                </c:pt>
                <c:pt idx="2">
                  <c:v>100442.21022819821</c:v>
                </c:pt>
                <c:pt idx="3">
                  <c:v>100240.45762452527</c:v>
                </c:pt>
                <c:pt idx="4">
                  <c:v>100073.68449485014</c:v>
                </c:pt>
                <c:pt idx="5">
                  <c:v>99746.555431749104</c:v>
                </c:pt>
                <c:pt idx="6">
                  <c:v>99433.643179509862</c:v>
                </c:pt>
                <c:pt idx="7">
                  <c:v>99032.447064497872</c:v>
                </c:pt>
                <c:pt idx="8">
                  <c:v>98249.397024129808</c:v>
                </c:pt>
                <c:pt idx="9">
                  <c:v>98461.512774642339</c:v>
                </c:pt>
                <c:pt idx="10">
                  <c:v>99032.447064497872</c:v>
                </c:pt>
                <c:pt idx="11">
                  <c:v>99289.827553331255</c:v>
                </c:pt>
                <c:pt idx="12">
                  <c:v>99611.553198183406</c:v>
                </c:pt>
                <c:pt idx="13">
                  <c:v>99774.461771880902</c:v>
                </c:pt>
                <c:pt idx="14">
                  <c:v>99919.13560300805</c:v>
                </c:pt>
                <c:pt idx="15">
                  <c:v>100057.7250570802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CAEF-4C5B-A722-06C8820610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490392"/>
        <c:axId val="393119008"/>
      </c:scatterChart>
      <c:valAx>
        <c:axId val="348490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Tap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3119008"/>
        <c:crosses val="autoZero"/>
        <c:crossBetween val="midCat"/>
        <c:majorUnit val="1"/>
      </c:valAx>
      <c:valAx>
        <c:axId val="39311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Static Pressure (Pa)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8490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Static</a:t>
            </a:r>
            <a:r>
              <a:rPr lang="en-CA" baseline="0"/>
              <a:t> pressure distribution for Flow #2</a:t>
            </a:r>
            <a:endParaRPr lang="en-CA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Experimental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Sheet1!$B$3:$B$18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Sheet1!$M$3:$M$18</c:f>
              <c:numCache>
                <c:formatCode>General</c:formatCode>
                <c:ptCount val="16"/>
                <c:pt idx="0">
                  <c:v>100697.16</c:v>
                </c:pt>
                <c:pt idx="1">
                  <c:v>100697.16</c:v>
                </c:pt>
                <c:pt idx="2">
                  <c:v>100697.16</c:v>
                </c:pt>
                <c:pt idx="3">
                  <c:v>100559.82</c:v>
                </c:pt>
                <c:pt idx="4">
                  <c:v>100442.1</c:v>
                </c:pt>
                <c:pt idx="5">
                  <c:v>100167.42</c:v>
                </c:pt>
                <c:pt idx="6">
                  <c:v>99833.88</c:v>
                </c:pt>
                <c:pt idx="7">
                  <c:v>99402.240000000005</c:v>
                </c:pt>
                <c:pt idx="8">
                  <c:v>98401.62</c:v>
                </c:pt>
                <c:pt idx="9">
                  <c:v>98499.72</c:v>
                </c:pt>
                <c:pt idx="10">
                  <c:v>99402.240000000005</c:v>
                </c:pt>
                <c:pt idx="11">
                  <c:v>99618.06</c:v>
                </c:pt>
                <c:pt idx="12">
                  <c:v>99990.84</c:v>
                </c:pt>
                <c:pt idx="13">
                  <c:v>100147.8</c:v>
                </c:pt>
                <c:pt idx="14">
                  <c:v>100285.14</c:v>
                </c:pt>
                <c:pt idx="15">
                  <c:v>100402.86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6BE2-4357-8865-CBE2B2966D2E}"/>
            </c:ext>
          </c:extLst>
        </c:ser>
        <c:ser>
          <c:idx val="1"/>
          <c:order val="1"/>
          <c:tx>
            <c:v>Theoretical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Sheet1!$B$3:$B$18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xVal>
          <c:yVal>
            <c:numRef>
              <c:f>Sheet1!$U$3:$U$18</c:f>
              <c:numCache>
                <c:formatCode>General</c:formatCode>
                <c:ptCount val="16"/>
                <c:pt idx="0">
                  <c:v>100715.86468467623</c:v>
                </c:pt>
                <c:pt idx="1">
                  <c:v>100715.86468467623</c:v>
                </c:pt>
                <c:pt idx="2">
                  <c:v>100715.86468467623</c:v>
                </c:pt>
                <c:pt idx="3">
                  <c:v>100562.77750489273</c:v>
                </c:pt>
                <c:pt idx="4">
                  <c:v>100442.21022819821</c:v>
                </c:pt>
                <c:pt idx="5">
                  <c:v>100188.96445471956</c:v>
                </c:pt>
                <c:pt idx="6">
                  <c:v>99919.13560300805</c:v>
                </c:pt>
                <c:pt idx="7">
                  <c:v>99611.553198183406</c:v>
                </c:pt>
                <c:pt idx="8">
                  <c:v>99011.051341939645</c:v>
                </c:pt>
                <c:pt idx="9">
                  <c:v>99064.815437434896</c:v>
                </c:pt>
                <c:pt idx="10">
                  <c:v>99611.553198183406</c:v>
                </c:pt>
                <c:pt idx="11">
                  <c:v>99760.468505505414</c:v>
                </c:pt>
                <c:pt idx="12">
                  <c:v>100041.8842817784</c:v>
                </c:pt>
                <c:pt idx="13">
                  <c:v>100172.09229445273</c:v>
                </c:pt>
                <c:pt idx="14">
                  <c:v>100293.34956243771</c:v>
                </c:pt>
                <c:pt idx="15">
                  <c:v>100403.8304835384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6BE2-4357-8865-CBE2B2966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114304"/>
        <c:axId val="393118224"/>
      </c:scatterChart>
      <c:valAx>
        <c:axId val="393114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Tap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3118224"/>
        <c:crosses val="autoZero"/>
        <c:crossBetween val="midCat"/>
        <c:majorUnit val="1"/>
      </c:valAx>
      <c:valAx>
        <c:axId val="39311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Static Pressure (Pa)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31143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Velocity</a:t>
            </a:r>
            <a:r>
              <a:rPr lang="en-CA" baseline="0"/>
              <a:t> along Venturi Meter</a:t>
            </a:r>
            <a:endParaRPr lang="en-CA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Sheet1!$N$3:$N$18</c:f>
              <c:numCache>
                <c:formatCode>General</c:formatCode>
                <c:ptCount val="16"/>
                <c:pt idx="0">
                  <c:v>37.931517238307251</c:v>
                </c:pt>
                <c:pt idx="1">
                  <c:v>37.931517238307251</c:v>
                </c:pt>
                <c:pt idx="2">
                  <c:v>38.360135557633264</c:v>
                </c:pt>
                <c:pt idx="3">
                  <c:v>42.792522711333575</c:v>
                </c:pt>
                <c:pt idx="4">
                  <c:v>46.456431201718459</c:v>
                </c:pt>
                <c:pt idx="5">
                  <c:v>53.643266119802959</c:v>
                </c:pt>
                <c:pt idx="6">
                  <c:v>60.517765986526634</c:v>
                </c:pt>
                <c:pt idx="7">
                  <c:v>69.331810880720539</c:v>
                </c:pt>
                <c:pt idx="8">
                  <c:v>86.534964031887142</c:v>
                </c:pt>
                <c:pt idx="9">
                  <c:v>81.874904580097066</c:v>
                </c:pt>
                <c:pt idx="10">
                  <c:v>69.331810880720539</c:v>
                </c:pt>
                <c:pt idx="11">
                  <c:v>63.677311501036222</c:v>
                </c:pt>
                <c:pt idx="12">
                  <c:v>56.609186533636041</c:v>
                </c:pt>
                <c:pt idx="13">
                  <c:v>53.030180086437568</c:v>
                </c:pt>
                <c:pt idx="14">
                  <c:v>49.851780309232687</c:v>
                </c:pt>
                <c:pt idx="15">
                  <c:v>46.807050750928546</c:v>
                </c:pt>
              </c:numCache>
            </c:numRef>
          </c:val>
          <c:smooth val="0"/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Sheet1!$O$3:$O$18</c:f>
              <c:numCache>
                <c:formatCode>General</c:formatCode>
                <c:ptCount val="16"/>
                <c:pt idx="0">
                  <c:v>32.348106590649166</c:v>
                </c:pt>
                <c:pt idx="1">
                  <c:v>32.348106590649166</c:v>
                </c:pt>
                <c:pt idx="2">
                  <c:v>32.348106590649166</c:v>
                </c:pt>
                <c:pt idx="3">
                  <c:v>35.71134273588715</c:v>
                </c:pt>
                <c:pt idx="4">
                  <c:v>38.360135557633264</c:v>
                </c:pt>
                <c:pt idx="5">
                  <c:v>43.923797650021108</c:v>
                </c:pt>
                <c:pt idx="6">
                  <c:v>49.851780309232687</c:v>
                </c:pt>
                <c:pt idx="7">
                  <c:v>56.609186533636041</c:v>
                </c:pt>
                <c:pt idx="8">
                  <c:v>69.801862439336091</c:v>
                </c:pt>
                <c:pt idx="9">
                  <c:v>68.620696586379822</c:v>
                </c:pt>
                <c:pt idx="10">
                  <c:v>56.609186533636041</c:v>
                </c:pt>
                <c:pt idx="11">
                  <c:v>53.33760399568019</c:v>
                </c:pt>
                <c:pt idx="12">
                  <c:v>47.155063354850881</c:v>
                </c:pt>
                <c:pt idx="13">
                  <c:v>44.294469180700204</c:v>
                </c:pt>
                <c:pt idx="14">
                  <c:v>41.630517652318474</c:v>
                </c:pt>
                <c:pt idx="15">
                  <c:v>39.203316186261588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1313984"/>
        <c:axId val="461314376"/>
      </c:lineChart>
      <c:catAx>
        <c:axId val="4613139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Tap</a:t>
                </a:r>
                <a:r>
                  <a:rPr lang="en-CA" baseline="0"/>
                  <a:t> Number</a:t>
                </a:r>
                <a:endParaRPr lang="en-CA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314376"/>
        <c:crosses val="autoZero"/>
        <c:auto val="1"/>
        <c:lblAlgn val="ctr"/>
        <c:lblOffset val="100"/>
        <c:noMultiLvlLbl val="0"/>
      </c:catAx>
      <c:valAx>
        <c:axId val="461314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Velocity</a:t>
                </a:r>
                <a:r>
                  <a:rPr lang="en-CA" baseline="0"/>
                  <a:t> (m/s)</a:t>
                </a:r>
                <a:endParaRPr lang="en-CA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313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Static Pressure Comparison Flow 1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Sheet3!$B$1:$B$16</c:f>
              <c:numCache>
                <c:formatCode>General</c:formatCode>
                <c:ptCount val="16"/>
                <c:pt idx="0">
                  <c:v>102237.3</c:v>
                </c:pt>
                <c:pt idx="1">
                  <c:v>102237.3</c:v>
                </c:pt>
                <c:pt idx="2">
                  <c:v>102257</c:v>
                </c:pt>
                <c:pt idx="3">
                  <c:v>102492.4</c:v>
                </c:pt>
                <c:pt idx="4">
                  <c:v>102708.2</c:v>
                </c:pt>
                <c:pt idx="5">
                  <c:v>103159.5</c:v>
                </c:pt>
                <c:pt idx="6">
                  <c:v>103669.6</c:v>
                </c:pt>
                <c:pt idx="7">
                  <c:v>104474</c:v>
                </c:pt>
                <c:pt idx="8">
                  <c:v>106161.3</c:v>
                </c:pt>
                <c:pt idx="9">
                  <c:v>105670.8</c:v>
                </c:pt>
                <c:pt idx="10">
                  <c:v>104415.2</c:v>
                </c:pt>
                <c:pt idx="11">
                  <c:v>103963.9</c:v>
                </c:pt>
                <c:pt idx="12">
                  <c:v>103414.5</c:v>
                </c:pt>
                <c:pt idx="13">
                  <c:v>103120.2</c:v>
                </c:pt>
                <c:pt idx="14">
                  <c:v>102904.4</c:v>
                </c:pt>
                <c:pt idx="15">
                  <c:v>102727.8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221-4724-97CD-68A27087FFFE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Sheet3!$C$1:$C$16</c:f>
              <c:numCache>
                <c:formatCode>General</c:formatCode>
                <c:ptCount val="16"/>
                <c:pt idx="0">
                  <c:v>102237.33</c:v>
                </c:pt>
                <c:pt idx="1">
                  <c:v>102237.33</c:v>
                </c:pt>
                <c:pt idx="2">
                  <c:v>102257.05439999999</c:v>
                </c:pt>
                <c:pt idx="3">
                  <c:v>102508.0897</c:v>
                </c:pt>
                <c:pt idx="4">
                  <c:v>102757.02439999999</c:v>
                </c:pt>
                <c:pt idx="5">
                  <c:v>103318.88370000001</c:v>
                </c:pt>
                <c:pt idx="6">
                  <c:v>104001.41869999999</c:v>
                </c:pt>
                <c:pt idx="7">
                  <c:v>105145.4023</c:v>
                </c:pt>
                <c:pt idx="8">
                  <c:v>107708.8811</c:v>
                </c:pt>
                <c:pt idx="9">
                  <c:v>106946.6133</c:v>
                </c:pt>
                <c:pt idx="10">
                  <c:v>105059.5135</c:v>
                </c:pt>
                <c:pt idx="11">
                  <c:v>104411.861</c:v>
                </c:pt>
                <c:pt idx="12">
                  <c:v>103654.98390000001</c:v>
                </c:pt>
                <c:pt idx="13">
                  <c:v>103268.2258</c:v>
                </c:pt>
                <c:pt idx="14">
                  <c:v>102995.3642</c:v>
                </c:pt>
                <c:pt idx="15">
                  <c:v>102780.3863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221-4724-97CD-68A27087FF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266008"/>
        <c:axId val="162266400"/>
      </c:lineChart>
      <c:catAx>
        <c:axId val="1622660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Tap</a:t>
                </a:r>
                <a:r>
                  <a:rPr lang="en-CA" baseline="0"/>
                  <a:t> Number</a:t>
                </a:r>
                <a:endParaRPr lang="en-CA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266400"/>
        <c:crosses val="autoZero"/>
        <c:auto val="1"/>
        <c:lblAlgn val="ctr"/>
        <c:lblOffset val="100"/>
        <c:noMultiLvlLbl val="0"/>
      </c:catAx>
      <c:valAx>
        <c:axId val="162266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Pressure (Pa)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266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Static Pressure Comparison Flow 2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Sheet3!$B$19:$B$34</c:f>
              <c:numCache>
                <c:formatCode>General</c:formatCode>
                <c:ptCount val="16"/>
                <c:pt idx="0">
                  <c:v>102060.75</c:v>
                </c:pt>
                <c:pt idx="1">
                  <c:v>102060.75</c:v>
                </c:pt>
                <c:pt idx="2">
                  <c:v>102080.37</c:v>
                </c:pt>
                <c:pt idx="3">
                  <c:v>102256.95</c:v>
                </c:pt>
                <c:pt idx="4">
                  <c:v>102413.91</c:v>
                </c:pt>
                <c:pt idx="5">
                  <c:v>102767.07</c:v>
                </c:pt>
                <c:pt idx="6">
                  <c:v>103159.47</c:v>
                </c:pt>
                <c:pt idx="7">
                  <c:v>103767.69</c:v>
                </c:pt>
                <c:pt idx="8">
                  <c:v>105062.61</c:v>
                </c:pt>
                <c:pt idx="9">
                  <c:v>104827.17</c:v>
                </c:pt>
                <c:pt idx="10">
                  <c:v>103748.07</c:v>
                </c:pt>
                <c:pt idx="11">
                  <c:v>103414.53</c:v>
                </c:pt>
                <c:pt idx="12">
                  <c:v>102963.27</c:v>
                </c:pt>
                <c:pt idx="13">
                  <c:v>102747.45</c:v>
                </c:pt>
                <c:pt idx="14">
                  <c:v>102590.49</c:v>
                </c:pt>
                <c:pt idx="15">
                  <c:v>102433.53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5FA-4520-921C-87938F360485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Sheet3!$C$19:$C$34</c:f>
              <c:numCache>
                <c:formatCode>General</c:formatCode>
                <c:ptCount val="16"/>
                <c:pt idx="0">
                  <c:v>102070.2369</c:v>
                </c:pt>
                <c:pt idx="1">
                  <c:v>102070.2369</c:v>
                </c:pt>
                <c:pt idx="2">
                  <c:v>102087.77280000001</c:v>
                </c:pt>
                <c:pt idx="3">
                  <c:v>102257.05439999999</c:v>
                </c:pt>
                <c:pt idx="4">
                  <c:v>102421.71550000001</c:v>
                </c:pt>
                <c:pt idx="5">
                  <c:v>102827.4397</c:v>
                </c:pt>
                <c:pt idx="6">
                  <c:v>103318.88370000001</c:v>
                </c:pt>
                <c:pt idx="7">
                  <c:v>104137.0514</c:v>
                </c:pt>
                <c:pt idx="8">
                  <c:v>106019.34880000001</c:v>
                </c:pt>
                <c:pt idx="9">
                  <c:v>105666.682</c:v>
                </c:pt>
                <c:pt idx="10">
                  <c:v>104109.82610000001</c:v>
                </c:pt>
                <c:pt idx="11">
                  <c:v>103654.98390000001</c:v>
                </c:pt>
                <c:pt idx="12">
                  <c:v>103068.7582</c:v>
                </c:pt>
                <c:pt idx="13">
                  <c:v>102803.8588</c:v>
                </c:pt>
                <c:pt idx="14">
                  <c:v>102619.31540000001</c:v>
                </c:pt>
                <c:pt idx="15">
                  <c:v>102443.0768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5FA-4520-921C-87938F3604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0182104"/>
        <c:axId val="460183280"/>
      </c:lineChart>
      <c:catAx>
        <c:axId val="460182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Tube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0183280"/>
        <c:crosses val="autoZero"/>
        <c:auto val="1"/>
        <c:lblAlgn val="ctr"/>
        <c:lblOffset val="100"/>
        <c:noMultiLvlLbl val="0"/>
      </c:catAx>
      <c:valAx>
        <c:axId val="460183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Pressure (Pa)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0182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57149</xdr:colOff>
      <xdr:row>21</xdr:row>
      <xdr:rowOff>4761</xdr:rowOff>
    </xdr:from>
    <xdr:to>
      <xdr:col>10</xdr:col>
      <xdr:colOff>862853</xdr:colOff>
      <xdr:row>42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225799</xdr:colOff>
      <xdr:row>20</xdr:row>
      <xdr:rowOff>156601</xdr:rowOff>
    </xdr:from>
    <xdr:to>
      <xdr:col>18</xdr:col>
      <xdr:colOff>1326778</xdr:colOff>
      <xdr:row>41</xdr:row>
      <xdr:rowOff>161364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842681</xdr:colOff>
      <xdr:row>21</xdr:row>
      <xdr:rowOff>8963</xdr:rowOff>
    </xdr:from>
    <xdr:to>
      <xdr:col>22</xdr:col>
      <xdr:colOff>2187387</xdr:colOff>
      <xdr:row>41</xdr:row>
      <xdr:rowOff>161364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0</xdr:row>
      <xdr:rowOff>52387</xdr:rowOff>
    </xdr:from>
    <xdr:to>
      <xdr:col>11</xdr:col>
      <xdr:colOff>266700</xdr:colOff>
      <xdr:row>14</xdr:row>
      <xdr:rowOff>128587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9525</xdr:colOff>
      <xdr:row>18</xdr:row>
      <xdr:rowOff>23812</xdr:rowOff>
    </xdr:from>
    <xdr:to>
      <xdr:col>11</xdr:col>
      <xdr:colOff>314325</xdr:colOff>
      <xdr:row>32</xdr:row>
      <xdr:rowOff>100012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45"/>
  <sheetViews>
    <sheetView tabSelected="1" topLeftCell="L10" zoomScale="85" zoomScaleNormal="85" workbookViewId="0">
      <selection activeCell="V21" sqref="V21"/>
    </sheetView>
  </sheetViews>
  <sheetFormatPr defaultRowHeight="14.4" x14ac:dyDescent="0.3"/>
  <cols>
    <col min="2" max="2" width="28.6640625" customWidth="1"/>
    <col min="3" max="3" width="12.6640625" bestFit="1" customWidth="1"/>
    <col min="4" max="4" width="13.6640625" customWidth="1"/>
    <col min="5" max="5" width="10.44140625" hidden="1" customWidth="1"/>
    <col min="6" max="6" width="13.109375" customWidth="1"/>
    <col min="7" max="7" width="24.88671875" customWidth="1"/>
    <col min="8" max="8" width="25.109375" bestFit="1" customWidth="1"/>
    <col min="9" max="9" width="18.88671875" customWidth="1"/>
    <col min="10" max="10" width="12.88671875" bestFit="1" customWidth="1"/>
    <col min="11" max="11" width="24.33203125" customWidth="1"/>
    <col min="12" max="12" width="10.6640625" customWidth="1"/>
    <col min="13" max="13" width="11" customWidth="1"/>
    <col min="14" max="14" width="15.33203125" bestFit="1" customWidth="1"/>
    <col min="15" max="15" width="14.5546875" bestFit="1" customWidth="1"/>
    <col min="16" max="17" width="14" hidden="1" customWidth="1"/>
    <col min="18" max="19" width="20" bestFit="1" customWidth="1"/>
    <col min="20" max="20" width="20.88671875" customWidth="1"/>
    <col min="21" max="21" width="22.88671875" customWidth="1"/>
    <col min="22" max="22" width="20.44140625" customWidth="1"/>
    <col min="23" max="23" width="36.109375" customWidth="1"/>
  </cols>
  <sheetData>
    <row r="2" spans="2:23" s="3" customFormat="1" ht="30" customHeight="1" x14ac:dyDescent="0.3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16</v>
      </c>
      <c r="T2" s="3" t="s">
        <v>17</v>
      </c>
      <c r="U2" s="3" t="s">
        <v>18</v>
      </c>
      <c r="V2" s="3" t="s">
        <v>19</v>
      </c>
      <c r="W2" s="3" t="s">
        <v>20</v>
      </c>
    </row>
    <row r="3" spans="2:23" x14ac:dyDescent="0.3">
      <c r="B3" s="1">
        <v>1</v>
      </c>
      <c r="C3" s="1">
        <v>172</v>
      </c>
      <c r="D3" s="1">
        <v>148</v>
      </c>
      <c r="E3" s="1">
        <v>0</v>
      </c>
      <c r="F3" s="1">
        <v>145</v>
      </c>
      <c r="G3" s="1" t="s">
        <v>21</v>
      </c>
      <c r="H3" s="1">
        <v>26.542999999999999</v>
      </c>
      <c r="I3" s="1">
        <f>(3.14/4)*POWER(H3,2)</f>
        <v>553.05671646500002</v>
      </c>
      <c r="J3" s="1">
        <f>H3/1000</f>
        <v>2.6543000000000001E-2</v>
      </c>
      <c r="K3" s="1">
        <f>(3.14/4)*POWER(J3,2)</f>
        <v>5.5305671646500008E-4</v>
      </c>
      <c r="L3" s="1">
        <f>101325-(1000*9.81*((C3-C$19)/1000))</f>
        <v>100461.72</v>
      </c>
      <c r="M3" s="1">
        <f>101325-(1000*9.81*((D3-D$19)/1000))</f>
        <v>100697.16</v>
      </c>
      <c r="N3" s="1">
        <f>((2*(1000*9.81*((C3-C$19)/1000))/1.2)^(1/2))</f>
        <v>37.931517238307251</v>
      </c>
      <c r="O3" s="1">
        <f>((2*(1000*9.81*((D3-D$19)/1000))/1.2)^(1/2))</f>
        <v>32.348106590649166</v>
      </c>
      <c r="P3" s="1">
        <f>C$26*K$11</f>
        <v>1.0136656734828794E-2</v>
      </c>
      <c r="Q3" s="1">
        <f>C$29*K$11</f>
        <v>8.0612391716902605E-3</v>
      </c>
      <c r="R3" s="1">
        <f>N$3*K$3</f>
        <v>2.0978280374353755E-2</v>
      </c>
      <c r="S3" s="1">
        <f>O$3*K$3</f>
        <v>1.7890337614884257E-2</v>
      </c>
      <c r="T3" s="1">
        <f t="shared" ref="T3:T18" si="0">((1/2)*1.2*(($N$3-N3)^2))+L3</f>
        <v>100461.72</v>
      </c>
      <c r="U3" s="1">
        <f t="shared" ref="U3:U18" si="1">((1/2)*1.2*(($N$3-O3)^2))+M3</f>
        <v>100715.86468467623</v>
      </c>
      <c r="V3">
        <f>R3/P3</f>
        <v>2.0695462935302871</v>
      </c>
      <c r="W3">
        <f>S3/Q3</f>
        <v>2.2193036621109279</v>
      </c>
    </row>
    <row r="4" spans="2:23" x14ac:dyDescent="0.3">
      <c r="B4" s="1">
        <v>2</v>
      </c>
      <c r="C4" s="1">
        <v>172</v>
      </c>
      <c r="D4" s="1">
        <v>148</v>
      </c>
      <c r="E4" s="1">
        <v>0</v>
      </c>
      <c r="F4" s="1">
        <v>120</v>
      </c>
      <c r="G4" s="1">
        <v>0</v>
      </c>
      <c r="H4" s="1">
        <v>26.542999999999999</v>
      </c>
      <c r="I4" s="1">
        <f t="shared" ref="I4:I18" si="2">(3.14/4)*POWER(H4,2)</f>
        <v>553.05671646500002</v>
      </c>
      <c r="J4" s="1">
        <f t="shared" ref="J4:J18" si="3">H4/1000</f>
        <v>2.6543000000000001E-2</v>
      </c>
      <c r="K4" s="1">
        <f t="shared" ref="K4:K18" si="4">(3.14/4)*POWER(J4,2)</f>
        <v>5.5305671646500008E-4</v>
      </c>
      <c r="L4" s="1">
        <f t="shared" ref="L4:L18" si="5">101325-(1000*9.81*((C4-C$19)/1000))</f>
        <v>100461.72</v>
      </c>
      <c r="M4" s="1">
        <f t="shared" ref="M4:M18" si="6">101325-(1000*9.81*((D4-D$19)/1000))</f>
        <v>100697.16</v>
      </c>
      <c r="N4" s="1">
        <f t="shared" ref="N4:N18" si="7">((2*(1000*9.81*((C4-C$19)/1000))/1.2)^(1/2))</f>
        <v>37.931517238307251</v>
      </c>
      <c r="O4" s="1">
        <f t="shared" ref="O4:O18" si="8">((2*(1000*9.81*((D4-D$19)/1000))/1.2)^(1/2))</f>
        <v>32.348106590649166</v>
      </c>
      <c r="P4" s="1">
        <f t="shared" ref="P4:P18" si="9">C$26*K$11</f>
        <v>1.0136656734828794E-2</v>
      </c>
      <c r="Q4" s="1">
        <f t="shared" ref="Q4:Q18" si="10">C$29*K$11</f>
        <v>8.0612391716902605E-3</v>
      </c>
      <c r="R4" s="1">
        <f t="shared" ref="R4:R18" si="11">N$3*K$3</f>
        <v>2.0978280374353755E-2</v>
      </c>
      <c r="S4" s="1">
        <f t="shared" ref="S4:S18" si="12">O$3*K$3</f>
        <v>1.7890337614884257E-2</v>
      </c>
      <c r="T4" s="1">
        <f t="shared" si="0"/>
        <v>100461.72</v>
      </c>
      <c r="U4" s="1">
        <f t="shared" si="1"/>
        <v>100715.86468467623</v>
      </c>
      <c r="V4">
        <f t="shared" ref="V4:V18" si="13">R4/P4</f>
        <v>2.0695462935302871</v>
      </c>
      <c r="W4">
        <f t="shared" ref="W4:W18" si="14">S4/Q4</f>
        <v>2.2193036621109279</v>
      </c>
    </row>
    <row r="5" spans="2:23" x14ac:dyDescent="0.3">
      <c r="B5" s="1">
        <v>3</v>
      </c>
      <c r="C5" s="1">
        <v>174</v>
      </c>
      <c r="D5" s="1">
        <v>148</v>
      </c>
      <c r="E5" s="1">
        <v>6</v>
      </c>
      <c r="F5" s="1">
        <v>93</v>
      </c>
      <c r="G5" s="1">
        <f>120-F5</f>
        <v>27</v>
      </c>
      <c r="H5" s="1">
        <f>(C$21*(G5))+26.543</f>
        <v>24.611329999999999</v>
      </c>
      <c r="I5" s="1">
        <f t="shared" si="2"/>
        <v>475.4882880295865</v>
      </c>
      <c r="J5" s="1">
        <f t="shared" si="3"/>
        <v>2.4611329999999997E-2</v>
      </c>
      <c r="K5" s="1">
        <f t="shared" si="4"/>
        <v>4.7548828802958644E-4</v>
      </c>
      <c r="L5" s="1">
        <f t="shared" si="5"/>
        <v>100442.1</v>
      </c>
      <c r="M5" s="1">
        <f t="shared" si="6"/>
        <v>100697.16</v>
      </c>
      <c r="N5" s="1">
        <f t="shared" si="7"/>
        <v>38.360135557633264</v>
      </c>
      <c r="O5" s="1">
        <f t="shared" si="8"/>
        <v>32.348106590649166</v>
      </c>
      <c r="P5" s="1">
        <f t="shared" si="9"/>
        <v>1.0136656734828794E-2</v>
      </c>
      <c r="Q5" s="1">
        <f t="shared" si="10"/>
        <v>8.0612391716902605E-3</v>
      </c>
      <c r="R5" s="1">
        <f t="shared" si="11"/>
        <v>2.0978280374353755E-2</v>
      </c>
      <c r="S5" s="1">
        <f t="shared" si="12"/>
        <v>1.7890337614884257E-2</v>
      </c>
      <c r="T5" s="1">
        <f t="shared" si="0"/>
        <v>100442.21022819821</v>
      </c>
      <c r="U5" s="1">
        <f t="shared" si="1"/>
        <v>100715.86468467623</v>
      </c>
      <c r="V5">
        <f t="shared" si="13"/>
        <v>2.0695462935302871</v>
      </c>
      <c r="W5">
        <f t="shared" si="14"/>
        <v>2.2193036621109279</v>
      </c>
    </row>
    <row r="6" spans="2:23" x14ac:dyDescent="0.3">
      <c r="B6" s="1">
        <v>4</v>
      </c>
      <c r="C6" s="1">
        <v>196</v>
      </c>
      <c r="D6" s="1">
        <v>162</v>
      </c>
      <c r="E6" s="1">
        <v>19</v>
      </c>
      <c r="F6" s="1">
        <v>80</v>
      </c>
      <c r="G6" s="1">
        <f t="shared" ref="G6:G18" si="15">120-F6</f>
        <v>40</v>
      </c>
      <c r="H6" s="1">
        <f t="shared" ref="H6:H11" si="16">(C$21*(G6))+26.543</f>
        <v>23.681266666666666</v>
      </c>
      <c r="I6" s="1">
        <f t="shared" si="2"/>
        <v>440.22987688615558</v>
      </c>
      <c r="J6" s="1">
        <f t="shared" si="3"/>
        <v>2.3681266666666666E-2</v>
      </c>
      <c r="K6" s="1">
        <f t="shared" si="4"/>
        <v>4.4022987688615553E-4</v>
      </c>
      <c r="L6" s="1">
        <f t="shared" si="5"/>
        <v>100226.28</v>
      </c>
      <c r="M6" s="1">
        <f t="shared" si="6"/>
        <v>100559.82</v>
      </c>
      <c r="N6" s="1">
        <f t="shared" si="7"/>
        <v>42.792522711333575</v>
      </c>
      <c r="O6" s="1">
        <f t="shared" si="8"/>
        <v>35.71134273588715</v>
      </c>
      <c r="P6" s="1">
        <f t="shared" si="9"/>
        <v>1.0136656734828794E-2</v>
      </c>
      <c r="Q6" s="1">
        <f t="shared" si="10"/>
        <v>8.0612391716902605E-3</v>
      </c>
      <c r="R6" s="1">
        <f t="shared" si="11"/>
        <v>2.0978280374353755E-2</v>
      </c>
      <c r="S6" s="1">
        <f t="shared" si="12"/>
        <v>1.7890337614884257E-2</v>
      </c>
      <c r="T6" s="1">
        <f t="shared" si="0"/>
        <v>100240.45762452527</v>
      </c>
      <c r="U6" s="1">
        <f t="shared" si="1"/>
        <v>100562.77750489273</v>
      </c>
      <c r="V6">
        <f t="shared" si="13"/>
        <v>2.0695462935302871</v>
      </c>
      <c r="W6">
        <f t="shared" si="14"/>
        <v>2.2193036621109279</v>
      </c>
    </row>
    <row r="7" spans="2:23" x14ac:dyDescent="0.3">
      <c r="B7" s="1">
        <v>5</v>
      </c>
      <c r="C7" s="1">
        <v>216</v>
      </c>
      <c r="D7" s="1">
        <v>174</v>
      </c>
      <c r="E7" s="1">
        <v>28</v>
      </c>
      <c r="F7" s="1">
        <v>68</v>
      </c>
      <c r="G7" s="1">
        <f t="shared" si="15"/>
        <v>52</v>
      </c>
      <c r="H7" s="1">
        <f t="shared" si="16"/>
        <v>22.822746666666667</v>
      </c>
      <c r="I7" s="1">
        <f t="shared" si="2"/>
        <v>408.88904584751299</v>
      </c>
      <c r="J7" s="1">
        <f t="shared" si="3"/>
        <v>2.2822746666666668E-2</v>
      </c>
      <c r="K7" s="1">
        <f t="shared" si="4"/>
        <v>4.0888904584751297E-4</v>
      </c>
      <c r="L7" s="1">
        <f t="shared" si="5"/>
        <v>100030.08</v>
      </c>
      <c r="M7" s="1">
        <f t="shared" si="6"/>
        <v>100442.1</v>
      </c>
      <c r="N7" s="1">
        <f t="shared" si="7"/>
        <v>46.456431201718459</v>
      </c>
      <c r="O7" s="1">
        <f t="shared" si="8"/>
        <v>38.360135557633264</v>
      </c>
      <c r="P7" s="1">
        <f t="shared" si="9"/>
        <v>1.0136656734828794E-2</v>
      </c>
      <c r="Q7" s="1">
        <f t="shared" si="10"/>
        <v>8.0612391716902605E-3</v>
      </c>
      <c r="R7" s="1">
        <f t="shared" si="11"/>
        <v>2.0978280374353755E-2</v>
      </c>
      <c r="S7" s="1">
        <f t="shared" si="12"/>
        <v>1.7890337614884257E-2</v>
      </c>
      <c r="T7" s="1">
        <f t="shared" si="0"/>
        <v>100073.68449485014</v>
      </c>
      <c r="U7" s="1">
        <f t="shared" si="1"/>
        <v>100442.21022819821</v>
      </c>
      <c r="V7">
        <f t="shared" si="13"/>
        <v>2.0695462935302871</v>
      </c>
      <c r="W7">
        <f t="shared" si="14"/>
        <v>2.2193036621109279</v>
      </c>
    </row>
    <row r="8" spans="2:23" x14ac:dyDescent="0.3">
      <c r="B8" s="1">
        <v>6</v>
      </c>
      <c r="C8" s="1">
        <v>260</v>
      </c>
      <c r="D8" s="1">
        <v>202</v>
      </c>
      <c r="E8" s="1">
        <v>40</v>
      </c>
      <c r="F8" s="1">
        <v>55</v>
      </c>
      <c r="G8" s="1">
        <f t="shared" si="15"/>
        <v>65</v>
      </c>
      <c r="H8" s="1">
        <f t="shared" si="16"/>
        <v>21.892683333333331</v>
      </c>
      <c r="I8" s="1">
        <f t="shared" si="2"/>
        <v>376.24232307388462</v>
      </c>
      <c r="J8" s="1">
        <f t="shared" si="3"/>
        <v>2.1892683333333329E-2</v>
      </c>
      <c r="K8" s="1">
        <f t="shared" si="4"/>
        <v>3.7624232307388464E-4</v>
      </c>
      <c r="L8" s="1">
        <f t="shared" si="5"/>
        <v>99598.44</v>
      </c>
      <c r="M8" s="1">
        <f t="shared" si="6"/>
        <v>100167.42</v>
      </c>
      <c r="N8" s="1">
        <f t="shared" si="7"/>
        <v>53.643266119802959</v>
      </c>
      <c r="O8" s="1">
        <f t="shared" si="8"/>
        <v>43.923797650021108</v>
      </c>
      <c r="P8" s="1">
        <f t="shared" si="9"/>
        <v>1.0136656734828794E-2</v>
      </c>
      <c r="Q8" s="1">
        <f t="shared" si="10"/>
        <v>8.0612391716902605E-3</v>
      </c>
      <c r="R8" s="1">
        <f t="shared" si="11"/>
        <v>2.0978280374353755E-2</v>
      </c>
      <c r="S8" s="1">
        <f t="shared" si="12"/>
        <v>1.7890337614884257E-2</v>
      </c>
      <c r="T8" s="1">
        <f t="shared" si="0"/>
        <v>99746.555431749104</v>
      </c>
      <c r="U8" s="1">
        <f t="shared" si="1"/>
        <v>100188.96445471956</v>
      </c>
      <c r="V8">
        <f t="shared" si="13"/>
        <v>2.0695462935302871</v>
      </c>
      <c r="W8">
        <f t="shared" si="14"/>
        <v>2.2193036621109279</v>
      </c>
    </row>
    <row r="9" spans="2:23" x14ac:dyDescent="0.3">
      <c r="B9" s="1">
        <v>7</v>
      </c>
      <c r="C9" s="1">
        <v>308</v>
      </c>
      <c r="D9" s="1">
        <v>236</v>
      </c>
      <c r="E9" s="1">
        <v>53</v>
      </c>
      <c r="F9" s="1">
        <v>42</v>
      </c>
      <c r="G9" s="1">
        <f t="shared" si="15"/>
        <v>78</v>
      </c>
      <c r="H9" s="1">
        <f t="shared" si="16"/>
        <v>20.962620000000001</v>
      </c>
      <c r="I9" s="1">
        <f t="shared" si="2"/>
        <v>344.95367825255408</v>
      </c>
      <c r="J9" s="1">
        <f t="shared" si="3"/>
        <v>2.0962620000000001E-2</v>
      </c>
      <c r="K9" s="1">
        <f t="shared" si="4"/>
        <v>3.4495367825255406E-4</v>
      </c>
      <c r="L9" s="1">
        <f t="shared" si="5"/>
        <v>99127.56</v>
      </c>
      <c r="M9" s="1">
        <f t="shared" si="6"/>
        <v>99833.88</v>
      </c>
      <c r="N9" s="1">
        <f t="shared" si="7"/>
        <v>60.517765986526634</v>
      </c>
      <c r="O9" s="1">
        <f t="shared" si="8"/>
        <v>49.851780309232687</v>
      </c>
      <c r="P9" s="1">
        <f t="shared" si="9"/>
        <v>1.0136656734828794E-2</v>
      </c>
      <c r="Q9" s="1">
        <f t="shared" si="10"/>
        <v>8.0612391716902605E-3</v>
      </c>
      <c r="R9" s="1">
        <f t="shared" si="11"/>
        <v>2.0978280374353755E-2</v>
      </c>
      <c r="S9" s="1">
        <f t="shared" si="12"/>
        <v>1.7890337614884257E-2</v>
      </c>
      <c r="T9" s="1">
        <f t="shared" si="0"/>
        <v>99433.643179509862</v>
      </c>
      <c r="U9" s="1">
        <f t="shared" si="1"/>
        <v>99919.13560300805</v>
      </c>
      <c r="V9">
        <f t="shared" si="13"/>
        <v>2.0695462935302871</v>
      </c>
      <c r="W9">
        <f t="shared" si="14"/>
        <v>2.2193036621109279</v>
      </c>
    </row>
    <row r="10" spans="2:23" x14ac:dyDescent="0.3">
      <c r="B10" s="1">
        <v>8</v>
      </c>
      <c r="C10" s="1">
        <v>378</v>
      </c>
      <c r="D10" s="1">
        <v>280</v>
      </c>
      <c r="E10" s="1">
        <v>71</v>
      </c>
      <c r="F10" s="1">
        <v>30</v>
      </c>
      <c r="G10" s="1">
        <f t="shared" si="15"/>
        <v>90</v>
      </c>
      <c r="H10" s="1">
        <f t="shared" si="16"/>
        <v>20.104099999999999</v>
      </c>
      <c r="I10" s="1">
        <f t="shared" si="2"/>
        <v>317.27724689584994</v>
      </c>
      <c r="J10" s="1">
        <f t="shared" si="3"/>
        <v>2.01041E-2</v>
      </c>
      <c r="K10" s="1">
        <f t="shared" si="4"/>
        <v>3.1727724689584999E-4</v>
      </c>
      <c r="L10" s="1">
        <f t="shared" si="5"/>
        <v>98440.86</v>
      </c>
      <c r="M10" s="1">
        <f t="shared" si="6"/>
        <v>99402.240000000005</v>
      </c>
      <c r="N10" s="1">
        <f t="shared" si="7"/>
        <v>69.331810880720539</v>
      </c>
      <c r="O10" s="1">
        <f t="shared" si="8"/>
        <v>56.609186533636041</v>
      </c>
      <c r="P10" s="1">
        <f t="shared" si="9"/>
        <v>1.0136656734828794E-2</v>
      </c>
      <c r="Q10" s="1">
        <f t="shared" si="10"/>
        <v>8.0612391716902605E-3</v>
      </c>
      <c r="R10" s="1">
        <f t="shared" si="11"/>
        <v>2.0978280374353755E-2</v>
      </c>
      <c r="S10" s="1">
        <f t="shared" si="12"/>
        <v>1.7890337614884257E-2</v>
      </c>
      <c r="T10" s="1">
        <f t="shared" si="0"/>
        <v>99032.447064497872</v>
      </c>
      <c r="U10" s="1">
        <f t="shared" si="1"/>
        <v>99611.553198183406</v>
      </c>
      <c r="V10">
        <f t="shared" si="13"/>
        <v>2.0695462935302871</v>
      </c>
      <c r="W10">
        <f t="shared" si="14"/>
        <v>2.2193036621109279</v>
      </c>
    </row>
    <row r="11" spans="2:23" x14ac:dyDescent="0.3">
      <c r="B11" s="1">
        <v>9</v>
      </c>
      <c r="C11" s="1">
        <v>542</v>
      </c>
      <c r="D11" s="1">
        <v>382</v>
      </c>
      <c r="E11" s="1">
        <v>91</v>
      </c>
      <c r="F11" s="1">
        <f t="shared" ref="F4:F11" si="17">E$11-E11</f>
        <v>0</v>
      </c>
      <c r="G11" s="1">
        <f t="shared" si="15"/>
        <v>120</v>
      </c>
      <c r="H11" s="1">
        <f t="shared" si="16"/>
        <v>17.957799999999999</v>
      </c>
      <c r="I11" s="1">
        <f t="shared" si="2"/>
        <v>253.14882595939997</v>
      </c>
      <c r="J11" s="1">
        <f t="shared" si="3"/>
        <v>1.7957799999999999E-2</v>
      </c>
      <c r="K11" s="1">
        <f t="shared" si="4"/>
        <v>2.5314882595940002E-4</v>
      </c>
      <c r="L11" s="1">
        <f t="shared" si="5"/>
        <v>96832.02</v>
      </c>
      <c r="M11" s="1">
        <f t="shared" si="6"/>
        <v>98401.62</v>
      </c>
      <c r="N11" s="1">
        <f t="shared" si="7"/>
        <v>86.534964031887142</v>
      </c>
      <c r="O11" s="1">
        <f t="shared" si="8"/>
        <v>69.801862439336091</v>
      </c>
      <c r="P11" s="1">
        <f t="shared" si="9"/>
        <v>1.0136656734828794E-2</v>
      </c>
      <c r="Q11" s="1">
        <f t="shared" si="10"/>
        <v>8.0612391716902605E-3</v>
      </c>
      <c r="R11" s="1">
        <f t="shared" si="11"/>
        <v>2.0978280374353755E-2</v>
      </c>
      <c r="S11" s="1">
        <f t="shared" si="12"/>
        <v>1.7890337614884257E-2</v>
      </c>
      <c r="T11" s="1">
        <f t="shared" si="0"/>
        <v>98249.397024129808</v>
      </c>
      <c r="U11" s="1">
        <f t="shared" si="1"/>
        <v>99011.051341939645</v>
      </c>
      <c r="V11">
        <f t="shared" si="13"/>
        <v>2.0695462935302871</v>
      </c>
      <c r="W11">
        <f t="shared" si="14"/>
        <v>2.2193036621109279</v>
      </c>
    </row>
    <row r="12" spans="2:23" x14ac:dyDescent="0.3">
      <c r="B12" s="1">
        <v>10</v>
      </c>
      <c r="C12" s="1">
        <v>494</v>
      </c>
      <c r="D12" s="1">
        <v>372</v>
      </c>
      <c r="E12" s="1">
        <v>104</v>
      </c>
      <c r="F12" s="1">
        <v>10</v>
      </c>
      <c r="G12" s="1">
        <f>120+F12</f>
        <v>130</v>
      </c>
      <c r="H12" s="1">
        <f>((C$22*(F12)))+17.9578</f>
        <v>18.833840816326529</v>
      </c>
      <c r="I12" s="1">
        <f t="shared" si="2"/>
        <v>278.4501445173608</v>
      </c>
      <c r="J12" s="1">
        <f t="shared" si="3"/>
        <v>1.8833840816326528E-2</v>
      </c>
      <c r="K12" s="1">
        <f t="shared" si="4"/>
        <v>2.7845014451736077E-4</v>
      </c>
      <c r="L12" s="1">
        <f t="shared" si="5"/>
        <v>97302.9</v>
      </c>
      <c r="M12" s="1">
        <f t="shared" si="6"/>
        <v>98499.72</v>
      </c>
      <c r="N12" s="1">
        <f t="shared" si="7"/>
        <v>81.874904580097066</v>
      </c>
      <c r="O12" s="1">
        <f t="shared" si="8"/>
        <v>68.620696586379822</v>
      </c>
      <c r="P12" s="1">
        <f t="shared" si="9"/>
        <v>1.0136656734828794E-2</v>
      </c>
      <c r="Q12" s="1">
        <f t="shared" si="10"/>
        <v>8.0612391716902605E-3</v>
      </c>
      <c r="R12" s="1">
        <f t="shared" si="11"/>
        <v>2.0978280374353755E-2</v>
      </c>
      <c r="S12" s="1">
        <f t="shared" si="12"/>
        <v>1.7890337614884257E-2</v>
      </c>
      <c r="T12" s="1">
        <f t="shared" si="0"/>
        <v>98461.512774642339</v>
      </c>
      <c r="U12" s="1">
        <f t="shared" si="1"/>
        <v>99064.815437434896</v>
      </c>
      <c r="V12">
        <f t="shared" si="13"/>
        <v>2.0695462935302871</v>
      </c>
      <c r="W12">
        <f t="shared" si="14"/>
        <v>2.2193036621109279</v>
      </c>
    </row>
    <row r="13" spans="2:23" x14ac:dyDescent="0.3">
      <c r="B13" s="1">
        <v>11</v>
      </c>
      <c r="C13" s="1">
        <v>378</v>
      </c>
      <c r="D13" s="1">
        <v>280</v>
      </c>
      <c r="E13" s="1">
        <v>116</v>
      </c>
      <c r="F13" s="1">
        <v>22</v>
      </c>
      <c r="G13" s="1">
        <f t="shared" ref="G13:G18" si="18">120+F13</f>
        <v>142</v>
      </c>
      <c r="H13" s="1">
        <f t="shared" ref="H13:H18" si="19">((C$22*(F13)))+17.9578</f>
        <v>19.885089795918365</v>
      </c>
      <c r="I13" s="1">
        <f t="shared" si="2"/>
        <v>310.40218501051334</v>
      </c>
      <c r="J13" s="1">
        <f t="shared" si="3"/>
        <v>1.9885089795918364E-2</v>
      </c>
      <c r="K13" s="1">
        <f t="shared" si="4"/>
        <v>3.104021850105133E-4</v>
      </c>
      <c r="L13" s="1">
        <f t="shared" si="5"/>
        <v>98440.86</v>
      </c>
      <c r="M13" s="1">
        <f t="shared" si="6"/>
        <v>99402.240000000005</v>
      </c>
      <c r="N13" s="1">
        <f t="shared" si="7"/>
        <v>69.331810880720539</v>
      </c>
      <c r="O13" s="1">
        <f t="shared" si="8"/>
        <v>56.609186533636041</v>
      </c>
      <c r="P13" s="1">
        <f t="shared" si="9"/>
        <v>1.0136656734828794E-2</v>
      </c>
      <c r="Q13" s="1">
        <f t="shared" si="10"/>
        <v>8.0612391716902605E-3</v>
      </c>
      <c r="R13" s="1">
        <f t="shared" si="11"/>
        <v>2.0978280374353755E-2</v>
      </c>
      <c r="S13" s="1">
        <f t="shared" si="12"/>
        <v>1.7890337614884257E-2</v>
      </c>
      <c r="T13" s="1">
        <f t="shared" si="0"/>
        <v>99032.447064497872</v>
      </c>
      <c r="U13" s="1">
        <f t="shared" si="1"/>
        <v>99611.553198183406</v>
      </c>
      <c r="V13">
        <f t="shared" si="13"/>
        <v>2.0695462935302871</v>
      </c>
      <c r="W13">
        <f t="shared" si="14"/>
        <v>2.2193036621109279</v>
      </c>
    </row>
    <row r="14" spans="2:23" x14ac:dyDescent="0.3">
      <c r="B14" s="1">
        <v>12</v>
      </c>
      <c r="C14" s="1">
        <v>332</v>
      </c>
      <c r="D14" s="1">
        <v>258</v>
      </c>
      <c r="E14" s="1">
        <v>129</v>
      </c>
      <c r="F14" s="1">
        <v>35</v>
      </c>
      <c r="G14" s="1">
        <f t="shared" si="18"/>
        <v>155</v>
      </c>
      <c r="H14" s="1">
        <f t="shared" si="19"/>
        <v>21.023942857142856</v>
      </c>
      <c r="I14" s="1">
        <f t="shared" si="2"/>
        <v>346.97484600942039</v>
      </c>
      <c r="J14" s="1">
        <f t="shared" si="3"/>
        <v>2.1023942857142857E-2</v>
      </c>
      <c r="K14" s="1">
        <f t="shared" si="4"/>
        <v>3.469748460094204E-4</v>
      </c>
      <c r="L14" s="1">
        <f t="shared" si="5"/>
        <v>98892.12</v>
      </c>
      <c r="M14" s="1">
        <f t="shared" si="6"/>
        <v>99618.06</v>
      </c>
      <c r="N14" s="1">
        <f t="shared" si="7"/>
        <v>63.677311501036222</v>
      </c>
      <c r="O14" s="1">
        <f t="shared" si="8"/>
        <v>53.33760399568019</v>
      </c>
      <c r="P14" s="1">
        <f t="shared" si="9"/>
        <v>1.0136656734828794E-2</v>
      </c>
      <c r="Q14" s="1">
        <f t="shared" si="10"/>
        <v>8.0612391716902605E-3</v>
      </c>
      <c r="R14" s="1">
        <f t="shared" si="11"/>
        <v>2.0978280374353755E-2</v>
      </c>
      <c r="S14" s="1">
        <f t="shared" si="12"/>
        <v>1.7890337614884257E-2</v>
      </c>
      <c r="T14" s="1">
        <f t="shared" si="0"/>
        <v>99289.827553331255</v>
      </c>
      <c r="U14" s="1">
        <f t="shared" si="1"/>
        <v>99760.468505505414</v>
      </c>
      <c r="V14">
        <f t="shared" si="13"/>
        <v>2.0695462935302871</v>
      </c>
      <c r="W14">
        <f t="shared" si="14"/>
        <v>2.2193036621109279</v>
      </c>
    </row>
    <row r="15" spans="2:23" x14ac:dyDescent="0.3">
      <c r="B15" s="1">
        <v>13</v>
      </c>
      <c r="C15" s="1">
        <v>280</v>
      </c>
      <c r="D15" s="1">
        <v>220</v>
      </c>
      <c r="E15" s="1">
        <v>140</v>
      </c>
      <c r="F15" s="1">
        <v>48</v>
      </c>
      <c r="G15" s="1">
        <f t="shared" si="18"/>
        <v>168</v>
      </c>
      <c r="H15" s="1">
        <f t="shared" si="19"/>
        <v>22.162795918367344</v>
      </c>
      <c r="I15" s="1">
        <f t="shared" si="2"/>
        <v>385.58377549157217</v>
      </c>
      <c r="J15" s="1">
        <f t="shared" si="3"/>
        <v>2.2162795918367343E-2</v>
      </c>
      <c r="K15" s="1">
        <f t="shared" si="4"/>
        <v>3.8558377549157216E-4</v>
      </c>
      <c r="L15" s="1">
        <f t="shared" si="5"/>
        <v>99402.240000000005</v>
      </c>
      <c r="M15" s="1">
        <f t="shared" si="6"/>
        <v>99990.84</v>
      </c>
      <c r="N15" s="1">
        <f t="shared" si="7"/>
        <v>56.609186533636041</v>
      </c>
      <c r="O15" s="1">
        <f t="shared" si="8"/>
        <v>47.155063354850881</v>
      </c>
      <c r="P15" s="1">
        <f t="shared" si="9"/>
        <v>1.0136656734828794E-2</v>
      </c>
      <c r="Q15" s="1">
        <f t="shared" si="10"/>
        <v>8.0612391716902605E-3</v>
      </c>
      <c r="R15" s="1">
        <f t="shared" si="11"/>
        <v>2.0978280374353755E-2</v>
      </c>
      <c r="S15" s="1">
        <f t="shared" si="12"/>
        <v>1.7890337614884257E-2</v>
      </c>
      <c r="T15" s="1">
        <f t="shared" si="0"/>
        <v>99611.553198183406</v>
      </c>
      <c r="U15" s="1">
        <f t="shared" si="1"/>
        <v>100041.8842817784</v>
      </c>
      <c r="V15">
        <f t="shared" si="13"/>
        <v>2.0695462935302871</v>
      </c>
      <c r="W15">
        <f t="shared" si="14"/>
        <v>2.2193036621109279</v>
      </c>
    </row>
    <row r="16" spans="2:23" x14ac:dyDescent="0.3">
      <c r="B16" s="1">
        <v>14</v>
      </c>
      <c r="C16" s="1">
        <v>256</v>
      </c>
      <c r="D16" s="1">
        <v>204</v>
      </c>
      <c r="E16" s="1">
        <v>153</v>
      </c>
      <c r="F16" s="1">
        <v>60</v>
      </c>
      <c r="G16" s="1">
        <f t="shared" si="18"/>
        <v>180</v>
      </c>
      <c r="H16" s="1">
        <f t="shared" si="19"/>
        <v>23.214044897959184</v>
      </c>
      <c r="I16" s="1">
        <f t="shared" si="2"/>
        <v>423.0301262117049</v>
      </c>
      <c r="J16" s="1">
        <f t="shared" si="3"/>
        <v>2.3214044897959182E-2</v>
      </c>
      <c r="K16" s="1">
        <f t="shared" si="4"/>
        <v>4.2303012621170484E-4</v>
      </c>
      <c r="L16" s="1">
        <f t="shared" si="5"/>
        <v>99637.68</v>
      </c>
      <c r="M16" s="1">
        <f t="shared" si="6"/>
        <v>100147.8</v>
      </c>
      <c r="N16" s="1">
        <f t="shared" si="7"/>
        <v>53.030180086437568</v>
      </c>
      <c r="O16" s="1">
        <f t="shared" si="8"/>
        <v>44.294469180700204</v>
      </c>
      <c r="P16" s="1">
        <f t="shared" si="9"/>
        <v>1.0136656734828794E-2</v>
      </c>
      <c r="Q16" s="1">
        <f t="shared" si="10"/>
        <v>8.0612391716902605E-3</v>
      </c>
      <c r="R16" s="1">
        <f t="shared" si="11"/>
        <v>2.0978280374353755E-2</v>
      </c>
      <c r="S16" s="1">
        <f t="shared" si="12"/>
        <v>1.7890337614884257E-2</v>
      </c>
      <c r="T16" s="1">
        <f t="shared" si="0"/>
        <v>99774.461771880902</v>
      </c>
      <c r="U16" s="1">
        <f t="shared" si="1"/>
        <v>100172.09229445273</v>
      </c>
      <c r="V16">
        <f t="shared" si="13"/>
        <v>2.0695462935302871</v>
      </c>
      <c r="W16">
        <f t="shared" si="14"/>
        <v>2.2193036621109279</v>
      </c>
    </row>
    <row r="17" spans="2:23" x14ac:dyDescent="0.3">
      <c r="B17" s="1">
        <v>15</v>
      </c>
      <c r="C17" s="1">
        <v>236</v>
      </c>
      <c r="D17" s="1">
        <v>190</v>
      </c>
      <c r="E17" s="1">
        <v>166</v>
      </c>
      <c r="F17" s="1">
        <v>71</v>
      </c>
      <c r="G17" s="1">
        <f t="shared" si="18"/>
        <v>191</v>
      </c>
      <c r="H17" s="1">
        <f t="shared" si="19"/>
        <v>24.177689795918369</v>
      </c>
      <c r="I17" s="1">
        <f t="shared" si="2"/>
        <v>458.88013683610939</v>
      </c>
      <c r="J17" s="1">
        <f t="shared" si="3"/>
        <v>2.4177689795918368E-2</v>
      </c>
      <c r="K17" s="1">
        <f t="shared" si="4"/>
        <v>4.5888013683610928E-4</v>
      </c>
      <c r="L17" s="1">
        <f t="shared" si="5"/>
        <v>99833.88</v>
      </c>
      <c r="M17" s="1">
        <f t="shared" si="6"/>
        <v>100285.14</v>
      </c>
      <c r="N17" s="1">
        <f t="shared" si="7"/>
        <v>49.851780309232687</v>
      </c>
      <c r="O17" s="1">
        <f t="shared" si="8"/>
        <v>41.630517652318474</v>
      </c>
      <c r="P17" s="1">
        <f t="shared" si="9"/>
        <v>1.0136656734828794E-2</v>
      </c>
      <c r="Q17" s="1">
        <f t="shared" si="10"/>
        <v>8.0612391716902605E-3</v>
      </c>
      <c r="R17" s="1">
        <f t="shared" si="11"/>
        <v>2.0978280374353755E-2</v>
      </c>
      <c r="S17" s="1">
        <f t="shared" si="12"/>
        <v>1.7890337614884257E-2</v>
      </c>
      <c r="T17" s="1">
        <f t="shared" si="0"/>
        <v>99919.13560300805</v>
      </c>
      <c r="U17" s="1">
        <f t="shared" si="1"/>
        <v>100293.34956243771</v>
      </c>
      <c r="V17">
        <f t="shared" si="13"/>
        <v>2.0695462935302871</v>
      </c>
      <c r="W17">
        <f t="shared" si="14"/>
        <v>2.2193036621109279</v>
      </c>
    </row>
    <row r="18" spans="2:23" x14ac:dyDescent="0.3">
      <c r="B18" s="1">
        <v>16</v>
      </c>
      <c r="C18" s="1">
        <v>218</v>
      </c>
      <c r="D18" s="1">
        <v>178</v>
      </c>
      <c r="E18" s="1">
        <v>191</v>
      </c>
      <c r="F18" s="1">
        <v>98</v>
      </c>
      <c r="G18" s="1">
        <f t="shared" si="18"/>
        <v>218</v>
      </c>
      <c r="H18" s="1">
        <f t="shared" si="19"/>
        <v>26.542999999999999</v>
      </c>
      <c r="I18" s="1">
        <f t="shared" si="2"/>
        <v>553.05671646500002</v>
      </c>
      <c r="J18" s="1">
        <f t="shared" si="3"/>
        <v>2.6543000000000001E-2</v>
      </c>
      <c r="K18" s="1">
        <f t="shared" si="4"/>
        <v>5.5305671646500008E-4</v>
      </c>
      <c r="L18" s="1">
        <f t="shared" si="5"/>
        <v>100010.46</v>
      </c>
      <c r="M18" s="1">
        <f t="shared" si="6"/>
        <v>100402.86</v>
      </c>
      <c r="N18" s="1">
        <f t="shared" si="7"/>
        <v>46.807050750928546</v>
      </c>
      <c r="O18" s="1">
        <f t="shared" si="8"/>
        <v>39.203316186261588</v>
      </c>
      <c r="P18" s="1">
        <f t="shared" si="9"/>
        <v>1.0136656734828794E-2</v>
      </c>
      <c r="Q18" s="1">
        <f t="shared" si="10"/>
        <v>8.0612391716902605E-3</v>
      </c>
      <c r="R18" s="1">
        <f t="shared" si="11"/>
        <v>2.0978280374353755E-2</v>
      </c>
      <c r="S18" s="1">
        <f t="shared" si="12"/>
        <v>1.7890337614884257E-2</v>
      </c>
      <c r="T18" s="1">
        <f t="shared" si="0"/>
        <v>100057.7250570802</v>
      </c>
      <c r="U18" s="1">
        <f t="shared" si="1"/>
        <v>100403.8304835384</v>
      </c>
      <c r="V18">
        <f t="shared" si="13"/>
        <v>2.0695462935302871</v>
      </c>
      <c r="W18">
        <f t="shared" si="14"/>
        <v>2.2193036621109279</v>
      </c>
    </row>
    <row r="19" spans="2:23" x14ac:dyDescent="0.3">
      <c r="B19" s="6" t="s">
        <v>22</v>
      </c>
      <c r="C19" s="1">
        <v>84</v>
      </c>
      <c r="D19" s="1">
        <v>84</v>
      </c>
      <c r="E19" s="1"/>
      <c r="L19" s="1"/>
      <c r="M19" s="1"/>
      <c r="N19" s="1"/>
      <c r="O19" s="1"/>
      <c r="R19" s="1"/>
      <c r="S19" s="1"/>
      <c r="V19">
        <f>AVERAGE(V3:V18)</f>
        <v>2.0695462935302871</v>
      </c>
      <c r="W19">
        <f>AVERAGE(W3:W18)</f>
        <v>2.2193036621109279</v>
      </c>
    </row>
    <row r="21" spans="2:23" x14ac:dyDescent="0.3">
      <c r="B21" s="2" t="s">
        <v>23</v>
      </c>
      <c r="C21">
        <f>-8.5852/120</f>
        <v>-7.1543333333333334E-2</v>
      </c>
    </row>
    <row r="22" spans="2:23" x14ac:dyDescent="0.3">
      <c r="B22" s="2" t="s">
        <v>24</v>
      </c>
      <c r="C22">
        <f>8.5852/98</f>
        <v>8.7604081632653069E-2</v>
      </c>
    </row>
    <row r="24" spans="2:23" x14ac:dyDescent="0.3">
      <c r="B24" s="2" t="s">
        <v>25</v>
      </c>
    </row>
    <row r="26" spans="2:23" x14ac:dyDescent="0.3">
      <c r="B26" s="2" t="s">
        <v>26</v>
      </c>
      <c r="C26">
        <f>SQRT(((2*(L11-L3))/1.2)/(1-((K3/K11)^2)))</f>
        <v>40.042282228298816</v>
      </c>
    </row>
    <row r="27" spans="2:23" x14ac:dyDescent="0.3">
      <c r="B27" s="2" t="s">
        <v>27</v>
      </c>
      <c r="C27">
        <f>C26*K11</f>
        <v>1.0136656734828794E-2</v>
      </c>
    </row>
    <row r="29" spans="2:23" x14ac:dyDescent="0.3">
      <c r="B29" s="2" t="s">
        <v>28</v>
      </c>
      <c r="C29">
        <f>SQRT(((2*(M11-M3))/1.2)/(1-(($K3/$K11)^2)))</f>
        <v>31.84387342559954</v>
      </c>
    </row>
    <row r="30" spans="2:23" x14ac:dyDescent="0.3">
      <c r="B30" s="2" t="s">
        <v>29</v>
      </c>
      <c r="C30">
        <f>AVERAGE(Q3:Q18)</f>
        <v>8.0612391716902588E-3</v>
      </c>
    </row>
    <row r="32" spans="2:23" x14ac:dyDescent="0.3">
      <c r="B32" s="2" t="s">
        <v>30</v>
      </c>
      <c r="C32">
        <f>AVERAGE(R3:R18)</f>
        <v>2.0978280374353748E-2</v>
      </c>
    </row>
    <row r="33" spans="2:3" x14ac:dyDescent="0.3">
      <c r="B33" s="2" t="s">
        <v>31</v>
      </c>
      <c r="C33">
        <f>AVERAGE(S3:S18)</f>
        <v>1.7890337614884254E-2</v>
      </c>
    </row>
    <row r="35" spans="2:3" x14ac:dyDescent="0.3">
      <c r="B35" s="2" t="s">
        <v>32</v>
      </c>
      <c r="C35">
        <f>C32/C27</f>
        <v>2.0695462935302866</v>
      </c>
    </row>
    <row r="36" spans="2:3" x14ac:dyDescent="0.3">
      <c r="B36" s="2" t="s">
        <v>33</v>
      </c>
      <c r="C36">
        <f>C33/C30</f>
        <v>2.2193036621109279</v>
      </c>
    </row>
    <row r="38" spans="2:3" x14ac:dyDescent="0.3">
      <c r="B38" s="2" t="s">
        <v>34</v>
      </c>
      <c r="C38">
        <f>0.5*1.2*(N11^2)</f>
        <v>4492.9800000000005</v>
      </c>
    </row>
    <row r="39" spans="2:3" x14ac:dyDescent="0.3">
      <c r="B39" s="2" t="s">
        <v>35</v>
      </c>
      <c r="C39">
        <f>0.5*1.2*(O11^2)</f>
        <v>2923.3799999999987</v>
      </c>
    </row>
    <row r="41" spans="2:3" x14ac:dyDescent="0.3">
      <c r="B41" s="2" t="s">
        <v>36</v>
      </c>
      <c r="C41">
        <f>L11</f>
        <v>96832.02</v>
      </c>
    </row>
    <row r="42" spans="2:3" x14ac:dyDescent="0.3">
      <c r="B42" s="2" t="s">
        <v>37</v>
      </c>
      <c r="C42">
        <f>M11</f>
        <v>98401.62</v>
      </c>
    </row>
    <row r="44" spans="2:3" x14ac:dyDescent="0.3">
      <c r="B44" s="2" t="s">
        <v>38</v>
      </c>
      <c r="C44">
        <f>C38+C41</f>
        <v>101325</v>
      </c>
    </row>
    <row r="45" spans="2:3" x14ac:dyDescent="0.3">
      <c r="B45" s="2" t="s">
        <v>39</v>
      </c>
      <c r="C45">
        <f>C39+C42</f>
        <v>101325</v>
      </c>
    </row>
  </sheetData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3:R29"/>
  <sheetViews>
    <sheetView topLeftCell="A10" workbookViewId="0">
      <selection activeCell="G18" sqref="G18"/>
    </sheetView>
  </sheetViews>
  <sheetFormatPr defaultRowHeight="14.4" x14ac:dyDescent="0.3"/>
  <cols>
    <col min="1" max="1" width="10.44140625" bestFit="1" customWidth="1"/>
    <col min="2" max="3" width="6.6640625" bestFit="1" customWidth="1"/>
    <col min="4" max="4" width="5.109375" bestFit="1" customWidth="1"/>
    <col min="5" max="5" width="6.6640625" bestFit="1" customWidth="1"/>
    <col min="6" max="6" width="24.88671875" bestFit="1" customWidth="1"/>
    <col min="7" max="7" width="9.33203125" bestFit="1" customWidth="1"/>
    <col min="8" max="8" width="19.109375" bestFit="1" customWidth="1"/>
    <col min="9" max="9" width="12.88671875" bestFit="1" customWidth="1"/>
    <col min="10" max="10" width="24.88671875" bestFit="1" customWidth="1"/>
    <col min="11" max="11" width="10" bestFit="1" customWidth="1"/>
    <col min="12" max="12" width="10" customWidth="1"/>
    <col min="13" max="13" width="15.33203125" bestFit="1" customWidth="1"/>
    <col min="14" max="14" width="14.5546875" bestFit="1" customWidth="1"/>
    <col min="15" max="16" width="14" bestFit="1" customWidth="1"/>
    <col min="17" max="18" width="20" bestFit="1" customWidth="1"/>
  </cols>
  <sheetData>
    <row r="13" spans="1:18" x14ac:dyDescent="0.3">
      <c r="A13" s="3" t="s">
        <v>0</v>
      </c>
      <c r="B13" s="3" t="s">
        <v>40</v>
      </c>
      <c r="C13" s="3" t="s">
        <v>41</v>
      </c>
      <c r="D13" s="3" t="s">
        <v>42</v>
      </c>
      <c r="E13" s="3" t="s">
        <v>43</v>
      </c>
      <c r="F13" s="3" t="s">
        <v>44</v>
      </c>
      <c r="G13" s="3" t="s">
        <v>6</v>
      </c>
      <c r="H13" s="3" t="s">
        <v>7</v>
      </c>
      <c r="I13" s="3" t="s">
        <v>8</v>
      </c>
      <c r="J13" s="3" t="s">
        <v>9</v>
      </c>
      <c r="K13" s="3" t="s">
        <v>10</v>
      </c>
      <c r="L13" s="3" t="s">
        <v>11</v>
      </c>
      <c r="M13" s="3" t="s">
        <v>45</v>
      </c>
      <c r="N13" s="3" t="s">
        <v>46</v>
      </c>
      <c r="O13" s="3" t="s">
        <v>15</v>
      </c>
      <c r="P13" s="3" t="s">
        <v>16</v>
      </c>
      <c r="Q13" s="3" t="s">
        <v>17</v>
      </c>
      <c r="R13" s="3" t="s">
        <v>18</v>
      </c>
    </row>
    <row r="14" spans="1:18" x14ac:dyDescent="0.3">
      <c r="A14" s="1">
        <v>1</v>
      </c>
      <c r="B14" s="1">
        <v>172</v>
      </c>
      <c r="C14" s="1">
        <v>148</v>
      </c>
      <c r="D14" s="1">
        <v>0</v>
      </c>
      <c r="E14" s="1">
        <v>133</v>
      </c>
      <c r="F14" s="1" t="s">
        <v>21</v>
      </c>
      <c r="G14" s="1">
        <v>26.542999999999999</v>
      </c>
      <c r="H14" s="1">
        <f>(3.14/4)*POWER(G14,2)</f>
        <v>553.05671646500002</v>
      </c>
      <c r="I14" s="1">
        <f>G14/1000</f>
        <v>2.6543000000000001E-2</v>
      </c>
      <c r="J14" s="1">
        <f>(3.14/4)*POWER(I14,2)</f>
        <v>5.5305671646500008E-4</v>
      </c>
      <c r="K14" s="1">
        <f>101325+(1000*9.81*((B14-87)/1000))</f>
        <v>102158.85</v>
      </c>
      <c r="L14" s="1">
        <f>101325+(1000*9.81*((C14-87)/1000))</f>
        <v>101923.41</v>
      </c>
      <c r="M14" s="1">
        <f>((-2*(101325-K14))/1.2)^(1/2)</f>
        <v>37.279350852717513</v>
      </c>
      <c r="N14" s="1">
        <f>((-2*(101325-L14))/1.2)^(1/2)</f>
        <v>31.580848626976536</v>
      </c>
      <c r="O14" s="1">
        <f>M14*$K14</f>
        <v>3808415.6118601407</v>
      </c>
      <c r="P14" s="1">
        <f>N14*$K14</f>
        <v>3226263.1777560022</v>
      </c>
      <c r="Q14" s="1">
        <f>((1/2)*1.2*(($N$3-M14)^2))+K14</f>
        <v>102992.70000000001</v>
      </c>
      <c r="R14" s="1">
        <f>((1/2)*1.2*(($N$3-N14)^2))+L14</f>
        <v>102521.82</v>
      </c>
    </row>
    <row r="15" spans="1:18" x14ac:dyDescent="0.3">
      <c r="A15" s="1">
        <v>2</v>
      </c>
      <c r="B15" s="1">
        <v>172</v>
      </c>
      <c r="C15" s="1">
        <v>148</v>
      </c>
      <c r="D15" s="1">
        <v>25</v>
      </c>
      <c r="E15" s="1">
        <v>108</v>
      </c>
      <c r="F15" s="1" t="s">
        <v>21</v>
      </c>
      <c r="G15" s="1">
        <v>26.542999999999999</v>
      </c>
      <c r="H15" s="1">
        <f t="shared" ref="H15:H29" si="0">(3.14/4)*POWER(G15,2)</f>
        <v>553.05671646500002</v>
      </c>
      <c r="I15" s="1">
        <f t="shared" ref="I15:I29" si="1">G15/1000</f>
        <v>2.6543000000000001E-2</v>
      </c>
      <c r="J15" s="1">
        <f t="shared" ref="J15:J29" si="2">(3.14/4)*POWER(I15,2)</f>
        <v>5.5305671646500008E-4</v>
      </c>
      <c r="K15" s="1">
        <f t="shared" ref="K15:L29" si="3">101325+(1000*9.81*((B15-87)/1000))</f>
        <v>102158.85</v>
      </c>
      <c r="L15" s="1">
        <f t="shared" si="3"/>
        <v>101923.41</v>
      </c>
      <c r="M15" s="1">
        <f t="shared" ref="M15:N29" si="4">((-2*(101325-K15))/1.2)^(1/2)</f>
        <v>37.279350852717513</v>
      </c>
      <c r="N15" s="1">
        <f t="shared" si="4"/>
        <v>31.580848626976536</v>
      </c>
      <c r="O15" s="1">
        <f t="shared" ref="O15:P29" si="5">M15*$K15</f>
        <v>3808415.6118601407</v>
      </c>
      <c r="P15" s="1">
        <f t="shared" si="5"/>
        <v>3226263.1777560022</v>
      </c>
      <c r="Q15" s="1">
        <f t="shared" ref="Q15:R29" si="6">((1/2)*1.2*(($N$3-M15)^2))+K15</f>
        <v>102992.70000000001</v>
      </c>
      <c r="R15" s="1">
        <f t="shared" si="6"/>
        <v>102521.82</v>
      </c>
    </row>
    <row r="16" spans="1:18" x14ac:dyDescent="0.3">
      <c r="A16" s="1">
        <v>3</v>
      </c>
      <c r="B16" s="1">
        <v>174</v>
      </c>
      <c r="C16" s="1">
        <v>148</v>
      </c>
      <c r="D16" s="1">
        <v>50</v>
      </c>
      <c r="E16" s="1">
        <v>83</v>
      </c>
      <c r="F16" s="1">
        <f>SUM(D16-50)</f>
        <v>0</v>
      </c>
      <c r="G16" s="1">
        <f>((-B32*(90-F16))*2)+17.9578</f>
        <v>17.957799999999999</v>
      </c>
      <c r="H16" s="1">
        <f t="shared" si="0"/>
        <v>253.14882595939997</v>
      </c>
      <c r="I16" s="1">
        <f t="shared" si="1"/>
        <v>1.7957799999999999E-2</v>
      </c>
      <c r="J16" s="1">
        <f t="shared" si="2"/>
        <v>2.5314882595940002E-4</v>
      </c>
      <c r="K16" s="1">
        <f t="shared" si="3"/>
        <v>102178.47</v>
      </c>
      <c r="L16" s="1">
        <f t="shared" si="3"/>
        <v>101923.41</v>
      </c>
      <c r="M16" s="1">
        <f t="shared" si="4"/>
        <v>37.715381477588188</v>
      </c>
      <c r="N16" s="1">
        <f t="shared" si="4"/>
        <v>31.580848626976536</v>
      </c>
      <c r="O16" s="1">
        <f t="shared" si="5"/>
        <v>3853699.9748463002</v>
      </c>
      <c r="P16" s="1">
        <f t="shared" si="5"/>
        <v>3226882.7940060631</v>
      </c>
      <c r="Q16" s="1">
        <f t="shared" si="6"/>
        <v>103031.94</v>
      </c>
      <c r="R16" s="1">
        <f t="shared" si="6"/>
        <v>102521.82</v>
      </c>
    </row>
    <row r="17" spans="1:18" x14ac:dyDescent="0.3">
      <c r="A17" s="1">
        <v>4</v>
      </c>
      <c r="B17" s="1">
        <v>196</v>
      </c>
      <c r="C17" s="1">
        <v>162</v>
      </c>
      <c r="D17" s="1">
        <v>66</v>
      </c>
      <c r="E17" s="1">
        <v>67</v>
      </c>
      <c r="F17" s="1">
        <f t="shared" ref="F17:F28" si="7">SUM(D17-50)</f>
        <v>16</v>
      </c>
      <c r="G17" s="1">
        <f>((-B32*(90-F17))*2)+17.9578</f>
        <v>17.957799999999999</v>
      </c>
      <c r="H17" s="1">
        <f t="shared" si="0"/>
        <v>253.14882595939997</v>
      </c>
      <c r="I17" s="1">
        <f t="shared" si="1"/>
        <v>1.7957799999999999E-2</v>
      </c>
      <c r="J17" s="1">
        <f t="shared" si="2"/>
        <v>2.5314882595940002E-4</v>
      </c>
      <c r="K17" s="1">
        <f t="shared" si="3"/>
        <v>102394.29</v>
      </c>
      <c r="L17" s="1">
        <f t="shared" si="3"/>
        <v>102060.75</v>
      </c>
      <c r="M17" s="1">
        <f t="shared" si="4"/>
        <v>42.215518473660715</v>
      </c>
      <c r="N17" s="1">
        <f t="shared" si="4"/>
        <v>35.017852589786258</v>
      </c>
      <c r="O17" s="1">
        <f t="shared" si="5"/>
        <v>4322628.0410923725</v>
      </c>
      <c r="P17" s="1">
        <f t="shared" si="5"/>
        <v>3585628.1532558249</v>
      </c>
      <c r="Q17" s="1">
        <f t="shared" si="6"/>
        <v>103463.57999999999</v>
      </c>
      <c r="R17" s="1">
        <f t="shared" si="6"/>
        <v>102796.5</v>
      </c>
    </row>
    <row r="18" spans="1:18" x14ac:dyDescent="0.3">
      <c r="A18" s="1">
        <v>5</v>
      </c>
      <c r="B18" s="1">
        <v>216</v>
      </c>
      <c r="C18" s="1">
        <v>174</v>
      </c>
      <c r="D18" s="1">
        <v>75</v>
      </c>
      <c r="E18" s="1">
        <v>58</v>
      </c>
      <c r="F18" s="1">
        <f t="shared" si="7"/>
        <v>25</v>
      </c>
      <c r="G18" s="1">
        <f>((-B32*(90-F18))*2)+17.9578</f>
        <v>17.957799999999999</v>
      </c>
      <c r="H18" s="1">
        <f t="shared" si="0"/>
        <v>253.14882595939997</v>
      </c>
      <c r="I18" s="1">
        <f t="shared" si="1"/>
        <v>1.7957799999999999E-2</v>
      </c>
      <c r="J18" s="1">
        <f t="shared" si="2"/>
        <v>2.5314882595940002E-4</v>
      </c>
      <c r="K18" s="1">
        <f t="shared" si="3"/>
        <v>102590.49</v>
      </c>
      <c r="L18" s="1">
        <f t="shared" si="3"/>
        <v>102178.47</v>
      </c>
      <c r="M18" s="1">
        <f t="shared" si="4"/>
        <v>45.925483122118692</v>
      </c>
      <c r="N18" s="1">
        <f t="shared" si="4"/>
        <v>37.715381477588188</v>
      </c>
      <c r="O18" s="1">
        <f t="shared" si="5"/>
        <v>4711517.8169848863</v>
      </c>
      <c r="P18" s="1">
        <f t="shared" si="5"/>
        <v>3869239.4663226963</v>
      </c>
      <c r="Q18" s="1">
        <f t="shared" si="6"/>
        <v>103855.98000000001</v>
      </c>
      <c r="R18" s="1">
        <f t="shared" si="6"/>
        <v>103031.94</v>
      </c>
    </row>
    <row r="19" spans="1:18" x14ac:dyDescent="0.3">
      <c r="A19" s="1">
        <v>6</v>
      </c>
      <c r="B19" s="1">
        <v>260</v>
      </c>
      <c r="C19" s="1">
        <v>202</v>
      </c>
      <c r="D19" s="1">
        <v>89</v>
      </c>
      <c r="E19" s="1">
        <v>44</v>
      </c>
      <c r="F19" s="1">
        <f t="shared" si="7"/>
        <v>39</v>
      </c>
      <c r="G19" s="1">
        <f>((-B32*(90-F19))*2)+17.9578</f>
        <v>17.957799999999999</v>
      </c>
      <c r="H19" s="1">
        <f t="shared" si="0"/>
        <v>253.14882595939997</v>
      </c>
      <c r="I19" s="1">
        <f t="shared" si="1"/>
        <v>1.7957799999999999E-2</v>
      </c>
      <c r="J19" s="1">
        <f t="shared" si="2"/>
        <v>2.5314882595940002E-4</v>
      </c>
      <c r="K19" s="1">
        <f t="shared" si="3"/>
        <v>103022.13</v>
      </c>
      <c r="L19" s="1">
        <f t="shared" si="3"/>
        <v>102453.15</v>
      </c>
      <c r="M19" s="1">
        <f t="shared" si="4"/>
        <v>53.184114169552622</v>
      </c>
      <c r="N19" s="1">
        <f t="shared" si="4"/>
        <v>43.361849591547525</v>
      </c>
      <c r="O19" s="1">
        <f t="shared" si="5"/>
        <v>5479140.7239104928</v>
      </c>
      <c r="P19" s="1">
        <f t="shared" si="5"/>
        <v>4467230.1056608558</v>
      </c>
      <c r="Q19" s="1">
        <f t="shared" si="6"/>
        <v>104719.26000000001</v>
      </c>
      <c r="R19" s="1">
        <f t="shared" si="6"/>
        <v>103581.29999999999</v>
      </c>
    </row>
    <row r="20" spans="1:18" x14ac:dyDescent="0.3">
      <c r="A20" s="1">
        <v>7</v>
      </c>
      <c r="B20" s="1">
        <v>308</v>
      </c>
      <c r="C20" s="1">
        <v>236</v>
      </c>
      <c r="D20" s="1">
        <v>100</v>
      </c>
      <c r="E20" s="1">
        <v>33</v>
      </c>
      <c r="F20" s="1">
        <f t="shared" si="7"/>
        <v>50</v>
      </c>
      <c r="G20" s="1">
        <f>((-B32*(90-F20))*2)+17.9578</f>
        <v>17.957799999999999</v>
      </c>
      <c r="H20" s="1">
        <f t="shared" si="0"/>
        <v>253.14882595939997</v>
      </c>
      <c r="I20" s="1">
        <f t="shared" si="1"/>
        <v>1.7957799999999999E-2</v>
      </c>
      <c r="J20" s="1">
        <f t="shared" si="2"/>
        <v>2.5314882595940002E-4</v>
      </c>
      <c r="K20" s="1">
        <f t="shared" si="3"/>
        <v>103493.01</v>
      </c>
      <c r="L20" s="1">
        <f t="shared" si="3"/>
        <v>102786.69</v>
      </c>
      <c r="M20" s="1">
        <f t="shared" si="4"/>
        <v>60.111147052772097</v>
      </c>
      <c r="N20" s="1">
        <f t="shared" si="4"/>
        <v>49.357370270305168</v>
      </c>
      <c r="O20" s="1">
        <f t="shared" si="5"/>
        <v>6221083.543044013</v>
      </c>
      <c r="P20" s="1">
        <f t="shared" si="5"/>
        <v>5108142.8149583954</v>
      </c>
      <c r="Q20" s="1">
        <f t="shared" si="6"/>
        <v>105661.01999999999</v>
      </c>
      <c r="R20" s="1">
        <f t="shared" si="6"/>
        <v>104248.38</v>
      </c>
    </row>
    <row r="21" spans="1:18" x14ac:dyDescent="0.3">
      <c r="A21" s="1">
        <v>8</v>
      </c>
      <c r="B21" s="1">
        <v>378</v>
      </c>
      <c r="C21" s="1">
        <v>280</v>
      </c>
      <c r="D21" s="1">
        <v>113</v>
      </c>
      <c r="E21" s="1">
        <v>20</v>
      </c>
      <c r="F21" s="1">
        <f>SUM(D21-50)</f>
        <v>63</v>
      </c>
      <c r="G21" s="1">
        <f>((-B32*(90-F21))*2)+17.9578</f>
        <v>17.957799999999999</v>
      </c>
      <c r="H21" s="1">
        <f t="shared" si="0"/>
        <v>253.14882595939997</v>
      </c>
      <c r="I21" s="1">
        <f t="shared" si="1"/>
        <v>1.7957799999999999E-2</v>
      </c>
      <c r="J21" s="1">
        <f t="shared" si="2"/>
        <v>2.5314882595940002E-4</v>
      </c>
      <c r="K21" s="1">
        <f t="shared" si="3"/>
        <v>104179.71</v>
      </c>
      <c r="L21" s="1">
        <f t="shared" si="3"/>
        <v>103218.33</v>
      </c>
      <c r="M21" s="1">
        <f t="shared" si="4"/>
        <v>68.977170136212536</v>
      </c>
      <c r="N21" s="1">
        <f t="shared" si="4"/>
        <v>56.174282371918224</v>
      </c>
      <c r="O21" s="1">
        <f t="shared" si="5"/>
        <v>7186021.5814112825</v>
      </c>
      <c r="P21" s="1">
        <f t="shared" si="5"/>
        <v>5852220.4469645526</v>
      </c>
      <c r="Q21" s="1">
        <f t="shared" si="6"/>
        <v>107034.42000000001</v>
      </c>
      <c r="R21" s="1">
        <f t="shared" si="6"/>
        <v>105111.66</v>
      </c>
    </row>
    <row r="22" spans="1:18" x14ac:dyDescent="0.3">
      <c r="A22" s="1">
        <v>9</v>
      </c>
      <c r="B22" s="1">
        <v>542</v>
      </c>
      <c r="C22" s="1">
        <v>382</v>
      </c>
      <c r="D22" s="1">
        <v>133</v>
      </c>
      <c r="E22" s="1">
        <v>0</v>
      </c>
      <c r="F22" s="1">
        <f t="shared" si="7"/>
        <v>83</v>
      </c>
      <c r="G22" s="1">
        <f>((-B32*(90-F22))*2)+17.9578</f>
        <v>17.957799999999999</v>
      </c>
      <c r="H22" s="1">
        <f t="shared" si="0"/>
        <v>253.14882595939997</v>
      </c>
      <c r="I22" s="1">
        <f t="shared" si="1"/>
        <v>1.7957799999999999E-2</v>
      </c>
      <c r="J22" s="1">
        <f t="shared" si="2"/>
        <v>2.5314882595940002E-4</v>
      </c>
      <c r="K22" s="1">
        <f t="shared" si="3"/>
        <v>105788.55</v>
      </c>
      <c r="L22" s="1">
        <f t="shared" si="3"/>
        <v>104218.95</v>
      </c>
      <c r="M22" s="1">
        <f t="shared" si="4"/>
        <v>86.251086949672725</v>
      </c>
      <c r="N22" s="1">
        <f t="shared" si="4"/>
        <v>69.449622029209024</v>
      </c>
      <c r="O22" s="1">
        <f t="shared" si="5"/>
        <v>9124377.4243298005</v>
      </c>
      <c r="P22" s="1">
        <f t="shared" si="5"/>
        <v>7346974.8125180807</v>
      </c>
      <c r="Q22" s="1">
        <f t="shared" si="6"/>
        <v>110252.1</v>
      </c>
      <c r="R22" s="1">
        <f t="shared" si="6"/>
        <v>107112.9</v>
      </c>
    </row>
    <row r="23" spans="1:18" x14ac:dyDescent="0.3">
      <c r="A23" s="1">
        <v>10</v>
      </c>
      <c r="B23" s="1">
        <v>494</v>
      </c>
      <c r="C23" s="1">
        <v>372</v>
      </c>
      <c r="D23" s="1">
        <v>155</v>
      </c>
      <c r="E23" s="1">
        <v>20</v>
      </c>
      <c r="F23" s="1">
        <f t="shared" si="7"/>
        <v>105</v>
      </c>
      <c r="G23" s="1">
        <f>(-(B33*(190-F23)-4.2926)*2)+17.9578</f>
        <v>26.542999999999999</v>
      </c>
      <c r="H23" s="1">
        <f t="shared" si="0"/>
        <v>553.05671646500002</v>
      </c>
      <c r="I23" s="1">
        <f t="shared" si="1"/>
        <v>2.6543000000000001E-2</v>
      </c>
      <c r="J23" s="1">
        <f t="shared" si="2"/>
        <v>5.5305671646500008E-4</v>
      </c>
      <c r="K23" s="1">
        <f t="shared" si="3"/>
        <v>105317.67</v>
      </c>
      <c r="L23" s="1">
        <f t="shared" si="3"/>
        <v>104120.85</v>
      </c>
      <c r="M23" s="1">
        <f t="shared" si="4"/>
        <v>81.574812289088328</v>
      </c>
      <c r="N23" s="1">
        <f t="shared" si="4"/>
        <v>68.262361517896593</v>
      </c>
      <c r="O23" s="1">
        <f t="shared" si="5"/>
        <v>8591269.1609741487</v>
      </c>
      <c r="P23" s="1">
        <f t="shared" si="5"/>
        <v>7189232.8637625324</v>
      </c>
      <c r="Q23" s="1">
        <f t="shared" si="6"/>
        <v>109310.34</v>
      </c>
      <c r="R23" s="1">
        <f t="shared" si="6"/>
        <v>106916.70000000001</v>
      </c>
    </row>
    <row r="24" spans="1:18" x14ac:dyDescent="0.3">
      <c r="A24" s="1">
        <v>11</v>
      </c>
      <c r="B24" s="1">
        <v>378</v>
      </c>
      <c r="C24" s="1">
        <v>280</v>
      </c>
      <c r="D24" s="1">
        <v>167</v>
      </c>
      <c r="E24" s="1">
        <v>33</v>
      </c>
      <c r="F24" s="1">
        <f t="shared" si="7"/>
        <v>117</v>
      </c>
      <c r="G24" s="1">
        <f>(-(B33*(190-F24)-4.2926)*2)+17.9578</f>
        <v>26.542999999999999</v>
      </c>
      <c r="H24" s="1">
        <f t="shared" si="0"/>
        <v>553.05671646500002</v>
      </c>
      <c r="I24" s="1">
        <f t="shared" si="1"/>
        <v>2.6543000000000001E-2</v>
      </c>
      <c r="J24" s="1">
        <f t="shared" si="2"/>
        <v>5.5305671646500008E-4</v>
      </c>
      <c r="K24" s="1">
        <f t="shared" si="3"/>
        <v>104179.71</v>
      </c>
      <c r="L24" s="1">
        <f t="shared" si="3"/>
        <v>103218.33</v>
      </c>
      <c r="M24" s="1">
        <f t="shared" si="4"/>
        <v>68.977170136212536</v>
      </c>
      <c r="N24" s="1">
        <f t="shared" si="4"/>
        <v>56.174282371918224</v>
      </c>
      <c r="O24" s="1">
        <f t="shared" si="5"/>
        <v>7186021.5814112825</v>
      </c>
      <c r="P24" s="1">
        <f t="shared" si="5"/>
        <v>5852220.4469645526</v>
      </c>
      <c r="Q24" s="1">
        <f t="shared" si="6"/>
        <v>107034.42000000001</v>
      </c>
      <c r="R24" s="1">
        <f t="shared" si="6"/>
        <v>105111.66</v>
      </c>
    </row>
    <row r="25" spans="1:18" x14ac:dyDescent="0.3">
      <c r="A25" s="1">
        <v>12</v>
      </c>
      <c r="B25" s="1">
        <v>332</v>
      </c>
      <c r="C25" s="1">
        <v>258</v>
      </c>
      <c r="D25" s="1">
        <v>180</v>
      </c>
      <c r="E25" s="1">
        <v>45</v>
      </c>
      <c r="F25" s="1">
        <f t="shared" si="7"/>
        <v>130</v>
      </c>
      <c r="G25" s="1">
        <f>(-(B33*(190-F25)-4.2926)*2)+17.9578</f>
        <v>26.542999999999999</v>
      </c>
      <c r="H25" s="1">
        <f t="shared" si="0"/>
        <v>553.05671646500002</v>
      </c>
      <c r="I25" s="1">
        <f t="shared" si="1"/>
        <v>2.6543000000000001E-2</v>
      </c>
      <c r="J25" s="1">
        <f t="shared" si="2"/>
        <v>5.5305671646500008E-4</v>
      </c>
      <c r="K25" s="1">
        <f t="shared" si="3"/>
        <v>103728.45</v>
      </c>
      <c r="L25" s="1">
        <f t="shared" si="3"/>
        <v>103002.51</v>
      </c>
      <c r="M25" s="1">
        <f t="shared" si="4"/>
        <v>63.290994620087901</v>
      </c>
      <c r="N25" s="1">
        <f t="shared" si="4"/>
        <v>52.875797866320575</v>
      </c>
      <c r="O25" s="1">
        <f t="shared" si="5"/>
        <v>6565076.7709000567</v>
      </c>
      <c r="P25" s="1">
        <f t="shared" si="5"/>
        <v>5484724.5551867401</v>
      </c>
      <c r="Q25" s="1">
        <f t="shared" si="6"/>
        <v>106131.9</v>
      </c>
      <c r="R25" s="1">
        <f t="shared" si="6"/>
        <v>104680.01999999999</v>
      </c>
    </row>
    <row r="26" spans="1:18" x14ac:dyDescent="0.3">
      <c r="A26" s="1">
        <v>13</v>
      </c>
      <c r="B26" s="1">
        <v>280</v>
      </c>
      <c r="C26" s="1">
        <v>220</v>
      </c>
      <c r="D26" s="1">
        <v>192</v>
      </c>
      <c r="E26" s="1">
        <v>58</v>
      </c>
      <c r="F26" s="1">
        <f t="shared" si="7"/>
        <v>142</v>
      </c>
      <c r="G26" s="1">
        <f>(-(B33*(190-F26)-4.2926)*2)+17.9578</f>
        <v>26.542999999999999</v>
      </c>
      <c r="H26" s="1">
        <f t="shared" si="0"/>
        <v>553.05671646500002</v>
      </c>
      <c r="I26" s="1">
        <f t="shared" si="1"/>
        <v>2.6543000000000001E-2</v>
      </c>
      <c r="J26" s="1">
        <f t="shared" si="2"/>
        <v>5.5305671646500008E-4</v>
      </c>
      <c r="K26" s="1">
        <f t="shared" si="3"/>
        <v>103218.33</v>
      </c>
      <c r="L26" s="1">
        <f t="shared" si="3"/>
        <v>102629.73</v>
      </c>
      <c r="M26" s="1">
        <f t="shared" si="4"/>
        <v>56.174282371918224</v>
      </c>
      <c r="N26" s="1">
        <f t="shared" si="4"/>
        <v>46.632070509467979</v>
      </c>
      <c r="O26" s="1">
        <f t="shared" si="5"/>
        <v>5798215.6153778378</v>
      </c>
      <c r="P26" s="1">
        <f t="shared" si="5"/>
        <v>4813284.4424295342</v>
      </c>
      <c r="Q26" s="1">
        <f t="shared" si="6"/>
        <v>105111.66</v>
      </c>
      <c r="R26" s="1">
        <f t="shared" si="6"/>
        <v>103934.45999999999</v>
      </c>
    </row>
    <row r="27" spans="1:18" x14ac:dyDescent="0.3">
      <c r="A27" s="1">
        <v>14</v>
      </c>
      <c r="B27" s="1">
        <v>256</v>
      </c>
      <c r="C27" s="1">
        <v>204</v>
      </c>
      <c r="D27" s="1">
        <v>205</v>
      </c>
      <c r="E27" s="1">
        <v>70</v>
      </c>
      <c r="F27" s="1">
        <f t="shared" si="7"/>
        <v>155</v>
      </c>
      <c r="G27" s="1">
        <f>(-(B33*(190-F27)-4.2926)*2)+17.9578</f>
        <v>26.542999999999999</v>
      </c>
      <c r="H27" s="1">
        <f t="shared" si="0"/>
        <v>553.05671646500002</v>
      </c>
      <c r="I27" s="1">
        <f t="shared" si="1"/>
        <v>2.6543000000000001E-2</v>
      </c>
      <c r="J27" s="1">
        <f t="shared" si="2"/>
        <v>5.5305671646500008E-4</v>
      </c>
      <c r="K27" s="1">
        <f t="shared" si="3"/>
        <v>102982.89</v>
      </c>
      <c r="L27" s="1">
        <f t="shared" si="3"/>
        <v>102472.77</v>
      </c>
      <c r="M27" s="1">
        <f t="shared" si="4"/>
        <v>52.565673209804885</v>
      </c>
      <c r="N27" s="1">
        <f t="shared" si="4"/>
        <v>43.737283866285146</v>
      </c>
      <c r="O27" s="1">
        <f t="shared" si="5"/>
        <v>5413364.9419412836</v>
      </c>
      <c r="P27" s="1">
        <f t="shared" si="5"/>
        <v>4504191.8933004178</v>
      </c>
      <c r="Q27" s="1">
        <f t="shared" si="6"/>
        <v>104640.78</v>
      </c>
      <c r="R27" s="1">
        <f t="shared" si="6"/>
        <v>103620.54000000001</v>
      </c>
    </row>
    <row r="28" spans="1:18" x14ac:dyDescent="0.3">
      <c r="A28" s="1">
        <v>15</v>
      </c>
      <c r="B28" s="1">
        <v>236</v>
      </c>
      <c r="C28" s="1">
        <v>190</v>
      </c>
      <c r="D28" s="1">
        <v>217</v>
      </c>
      <c r="E28" s="1">
        <v>83</v>
      </c>
      <c r="F28" s="1">
        <f t="shared" si="7"/>
        <v>167</v>
      </c>
      <c r="G28" s="1">
        <f>(-(B33*(190-F28)-4.2926)*2)+17.9578</f>
        <v>26.542999999999999</v>
      </c>
      <c r="H28" s="1">
        <f t="shared" si="0"/>
        <v>553.05671646500002</v>
      </c>
      <c r="I28" s="1">
        <f t="shared" si="1"/>
        <v>2.6543000000000001E-2</v>
      </c>
      <c r="J28" s="1">
        <f t="shared" si="2"/>
        <v>5.5305671646500008E-4</v>
      </c>
      <c r="K28" s="1">
        <f t="shared" si="3"/>
        <v>102786.69</v>
      </c>
      <c r="L28" s="1">
        <f t="shared" si="3"/>
        <v>102335.43</v>
      </c>
      <c r="M28" s="1">
        <f t="shared" si="4"/>
        <v>49.357370270305168</v>
      </c>
      <c r="N28" s="1">
        <f t="shared" si="4"/>
        <v>41.037178265567775</v>
      </c>
      <c r="O28" s="1">
        <f t="shared" si="5"/>
        <v>5073280.7171890736</v>
      </c>
      <c r="P28" s="1">
        <f>N28*$K28</f>
        <v>4218075.7208576528</v>
      </c>
      <c r="Q28" s="1">
        <f t="shared" si="6"/>
        <v>104248.38</v>
      </c>
      <c r="R28" s="1">
        <f t="shared" si="6"/>
        <v>103345.85999999999</v>
      </c>
    </row>
    <row r="29" spans="1:18" x14ac:dyDescent="0.3">
      <c r="A29" s="1">
        <v>16</v>
      </c>
      <c r="B29" s="1">
        <v>218</v>
      </c>
      <c r="C29" s="1">
        <v>178</v>
      </c>
      <c r="D29" s="1">
        <v>242</v>
      </c>
      <c r="E29" s="1">
        <v>108</v>
      </c>
      <c r="F29" s="1" t="s">
        <v>21</v>
      </c>
      <c r="G29" s="1">
        <v>26.542999999999999</v>
      </c>
      <c r="H29" s="1">
        <f t="shared" si="0"/>
        <v>553.05671646500002</v>
      </c>
      <c r="I29" s="1">
        <f t="shared" si="1"/>
        <v>2.6543000000000001E-2</v>
      </c>
      <c r="J29" s="1">
        <f t="shared" si="2"/>
        <v>5.5305671646500008E-4</v>
      </c>
      <c r="K29" s="1">
        <f t="shared" si="3"/>
        <v>102610.11</v>
      </c>
      <c r="L29" s="1">
        <f t="shared" si="3"/>
        <v>102217.71</v>
      </c>
      <c r="M29" s="1">
        <f t="shared" si="4"/>
        <v>46.280125323944418</v>
      </c>
      <c r="N29" s="1">
        <f t="shared" si="4"/>
        <v>38.572658710542768</v>
      </c>
      <c r="O29" s="1">
        <f t="shared" si="5"/>
        <v>4748808.750303722</v>
      </c>
      <c r="P29" s="1">
        <f t="shared" si="5"/>
        <v>3957944.7532812515</v>
      </c>
      <c r="Q29" s="1">
        <f t="shared" si="6"/>
        <v>103895.22</v>
      </c>
      <c r="R29" s="1">
        <f t="shared" si="6"/>
        <v>103110.42000000001</v>
      </c>
    </row>
  </sheetData>
  <pageMargins left="0.25" right="0.25" top="0.75" bottom="0.75" header="0.3" footer="0.3"/>
  <pageSetup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opLeftCell="A10" workbookViewId="0">
      <selection activeCell="B5" sqref="B5"/>
    </sheetView>
  </sheetViews>
  <sheetFormatPr defaultRowHeight="14.4" x14ac:dyDescent="0.3"/>
  <sheetData>
    <row r="1" spans="1:3" x14ac:dyDescent="0.3">
      <c r="A1">
        <v>1</v>
      </c>
      <c r="B1">
        <v>102237.3</v>
      </c>
      <c r="C1">
        <v>102237.33</v>
      </c>
    </row>
    <row r="2" spans="1:3" x14ac:dyDescent="0.3">
      <c r="A2">
        <v>2</v>
      </c>
      <c r="B2">
        <v>102237.3</v>
      </c>
      <c r="C2">
        <v>102237.33</v>
      </c>
    </row>
    <row r="3" spans="1:3" x14ac:dyDescent="0.3">
      <c r="A3">
        <v>3</v>
      </c>
      <c r="B3">
        <v>102257</v>
      </c>
      <c r="C3">
        <v>102257.05439999999</v>
      </c>
    </row>
    <row r="4" spans="1:3" x14ac:dyDescent="0.3">
      <c r="A4">
        <v>4</v>
      </c>
      <c r="B4">
        <v>102492.4</v>
      </c>
      <c r="C4">
        <v>102508.0897</v>
      </c>
    </row>
    <row r="5" spans="1:3" x14ac:dyDescent="0.3">
      <c r="A5">
        <v>5</v>
      </c>
      <c r="B5">
        <v>102708.2</v>
      </c>
      <c r="C5">
        <v>102757.02439999999</v>
      </c>
    </row>
    <row r="6" spans="1:3" x14ac:dyDescent="0.3">
      <c r="A6">
        <v>6</v>
      </c>
      <c r="B6">
        <v>103159.5</v>
      </c>
      <c r="C6">
        <v>103318.88370000001</v>
      </c>
    </row>
    <row r="7" spans="1:3" x14ac:dyDescent="0.3">
      <c r="A7">
        <v>7</v>
      </c>
      <c r="B7">
        <v>103669.6</v>
      </c>
      <c r="C7">
        <v>104001.41869999999</v>
      </c>
    </row>
    <row r="8" spans="1:3" x14ac:dyDescent="0.3">
      <c r="A8">
        <v>8</v>
      </c>
      <c r="B8">
        <v>104474</v>
      </c>
      <c r="C8">
        <v>105145.4023</v>
      </c>
    </row>
    <row r="9" spans="1:3" x14ac:dyDescent="0.3">
      <c r="A9">
        <v>9</v>
      </c>
      <c r="B9">
        <v>106161.3</v>
      </c>
      <c r="C9">
        <v>107708.8811</v>
      </c>
    </row>
    <row r="10" spans="1:3" x14ac:dyDescent="0.3">
      <c r="A10">
        <v>10</v>
      </c>
      <c r="B10">
        <v>105670.8</v>
      </c>
      <c r="C10">
        <v>106946.6133</v>
      </c>
    </row>
    <row r="11" spans="1:3" x14ac:dyDescent="0.3">
      <c r="A11">
        <v>11</v>
      </c>
      <c r="B11">
        <v>104415.2</v>
      </c>
      <c r="C11">
        <v>105059.5135</v>
      </c>
    </row>
    <row r="12" spans="1:3" x14ac:dyDescent="0.3">
      <c r="A12">
        <v>12</v>
      </c>
      <c r="B12">
        <v>103963.9</v>
      </c>
      <c r="C12">
        <v>104411.861</v>
      </c>
    </row>
    <row r="13" spans="1:3" x14ac:dyDescent="0.3">
      <c r="A13">
        <v>13</v>
      </c>
      <c r="B13">
        <v>103414.5</v>
      </c>
      <c r="C13">
        <v>103654.98390000001</v>
      </c>
    </row>
    <row r="14" spans="1:3" x14ac:dyDescent="0.3">
      <c r="A14">
        <v>14</v>
      </c>
      <c r="B14">
        <v>103120.2</v>
      </c>
      <c r="C14">
        <v>103268.2258</v>
      </c>
    </row>
    <row r="15" spans="1:3" x14ac:dyDescent="0.3">
      <c r="A15">
        <v>15</v>
      </c>
      <c r="B15">
        <v>102904.4</v>
      </c>
      <c r="C15">
        <v>102995.3642</v>
      </c>
    </row>
    <row r="16" spans="1:3" x14ac:dyDescent="0.3">
      <c r="A16">
        <v>16</v>
      </c>
      <c r="B16">
        <v>102727.8</v>
      </c>
      <c r="C16">
        <v>102780.3863</v>
      </c>
    </row>
    <row r="19" spans="1:3" x14ac:dyDescent="0.3">
      <c r="A19" s="4">
        <v>1</v>
      </c>
      <c r="B19" s="5">
        <v>102060.75</v>
      </c>
      <c r="C19" s="4">
        <v>102070.2369</v>
      </c>
    </row>
    <row r="20" spans="1:3" x14ac:dyDescent="0.3">
      <c r="A20" s="4">
        <v>2</v>
      </c>
      <c r="B20" s="5">
        <v>102060.75</v>
      </c>
      <c r="C20" s="4">
        <v>102070.2369</v>
      </c>
    </row>
    <row r="21" spans="1:3" x14ac:dyDescent="0.3">
      <c r="A21" s="4">
        <v>3</v>
      </c>
      <c r="B21" s="5">
        <v>102080.37</v>
      </c>
      <c r="C21" s="4">
        <v>102087.77280000001</v>
      </c>
    </row>
    <row r="22" spans="1:3" x14ac:dyDescent="0.3">
      <c r="A22" s="4">
        <v>4</v>
      </c>
      <c r="B22" s="5">
        <v>102256.95</v>
      </c>
      <c r="C22" s="4">
        <v>102257.05439999999</v>
      </c>
    </row>
    <row r="23" spans="1:3" x14ac:dyDescent="0.3">
      <c r="A23" s="4">
        <v>5</v>
      </c>
      <c r="B23" s="5">
        <v>102413.91</v>
      </c>
      <c r="C23" s="4">
        <v>102421.71550000001</v>
      </c>
    </row>
    <row r="24" spans="1:3" x14ac:dyDescent="0.3">
      <c r="A24" s="4">
        <v>6</v>
      </c>
      <c r="B24" s="5">
        <v>102767.07</v>
      </c>
      <c r="C24" s="4">
        <v>102827.4397</v>
      </c>
    </row>
    <row r="25" spans="1:3" x14ac:dyDescent="0.3">
      <c r="A25" s="4">
        <v>7</v>
      </c>
      <c r="B25" s="5">
        <v>103159.47</v>
      </c>
      <c r="C25" s="4">
        <v>103318.88370000001</v>
      </c>
    </row>
    <row r="26" spans="1:3" x14ac:dyDescent="0.3">
      <c r="A26" s="4">
        <v>8</v>
      </c>
      <c r="B26" s="5">
        <v>103767.69</v>
      </c>
      <c r="C26" s="4">
        <v>104137.0514</v>
      </c>
    </row>
    <row r="27" spans="1:3" x14ac:dyDescent="0.3">
      <c r="A27" s="4">
        <v>9</v>
      </c>
      <c r="B27" s="5">
        <v>105062.61</v>
      </c>
      <c r="C27" s="4">
        <v>106019.34880000001</v>
      </c>
    </row>
    <row r="28" spans="1:3" x14ac:dyDescent="0.3">
      <c r="A28" s="4">
        <v>10</v>
      </c>
      <c r="B28" s="5">
        <v>104827.17</v>
      </c>
      <c r="C28" s="4">
        <v>105666.682</v>
      </c>
    </row>
    <row r="29" spans="1:3" x14ac:dyDescent="0.3">
      <c r="A29" s="4">
        <v>11</v>
      </c>
      <c r="B29" s="5">
        <v>103748.07</v>
      </c>
      <c r="C29" s="4">
        <v>104109.82610000001</v>
      </c>
    </row>
    <row r="30" spans="1:3" x14ac:dyDescent="0.3">
      <c r="A30" s="4">
        <v>12</v>
      </c>
      <c r="B30" s="5">
        <v>103414.53</v>
      </c>
      <c r="C30" s="4">
        <v>103654.98390000001</v>
      </c>
    </row>
    <row r="31" spans="1:3" x14ac:dyDescent="0.3">
      <c r="A31" s="4">
        <v>13</v>
      </c>
      <c r="B31" s="5">
        <v>102963.27</v>
      </c>
      <c r="C31" s="4">
        <v>103068.7582</v>
      </c>
    </row>
    <row r="32" spans="1:3" x14ac:dyDescent="0.3">
      <c r="A32" s="4">
        <v>14</v>
      </c>
      <c r="B32" s="5">
        <v>102747.45</v>
      </c>
      <c r="C32" s="4">
        <v>102803.8588</v>
      </c>
    </row>
    <row r="33" spans="1:3" x14ac:dyDescent="0.3">
      <c r="A33" s="4">
        <v>15</v>
      </c>
      <c r="B33" s="5">
        <v>102590.49</v>
      </c>
      <c r="C33" s="4">
        <v>102619.31540000001</v>
      </c>
    </row>
    <row r="34" spans="1:3" x14ac:dyDescent="0.3">
      <c r="A34" s="4">
        <v>16</v>
      </c>
      <c r="B34" s="5">
        <v>102433.53</v>
      </c>
      <c r="C34" s="4">
        <v>102443.0768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>Toshiba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Owner</dc:creator>
  <cp:keywords/>
  <dc:description/>
  <cp:lastModifiedBy>Brett Williamson</cp:lastModifiedBy>
  <cp:revision/>
  <dcterms:created xsi:type="dcterms:W3CDTF">2015-03-06T02:38:14Z</dcterms:created>
  <dcterms:modified xsi:type="dcterms:W3CDTF">2017-02-05T20:24:18Z</dcterms:modified>
  <cp:category/>
  <cp:contentStatus/>
</cp:coreProperties>
</file>