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 activeTab="1"/>
  </bookViews>
  <sheets>
    <sheet name="Sheet6" sheetId="7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D15" i="1" l="1"/>
  <c r="E15" i="1"/>
  <c r="X16" i="1"/>
  <c r="Y15" i="1"/>
  <c r="X15" i="1"/>
  <c r="X5" i="1"/>
  <c r="Y5" i="1"/>
  <c r="Y16" i="1"/>
  <c r="X6" i="1"/>
  <c r="X7" i="1"/>
  <c r="X8" i="1"/>
  <c r="X9" i="1"/>
  <c r="X10" i="1"/>
  <c r="X11" i="1"/>
  <c r="X12" i="1"/>
  <c r="X13" i="1"/>
  <c r="Y6" i="1" l="1"/>
  <c r="Y7" i="1"/>
  <c r="Y8" i="1"/>
  <c r="Y9" i="1"/>
  <c r="Y10" i="1"/>
  <c r="Y11" i="1"/>
  <c r="Y12" i="1"/>
  <c r="Y13" i="1"/>
  <c r="R15" i="1"/>
  <c r="Q15" i="1"/>
  <c r="J15" i="1" l="1"/>
  <c r="F15" i="1" l="1"/>
  <c r="H5" i="1"/>
  <c r="H6" i="1"/>
  <c r="H7" i="1"/>
  <c r="H8" i="1"/>
  <c r="H9" i="1"/>
  <c r="H10" i="1"/>
  <c r="H11" i="1"/>
  <c r="H12" i="1"/>
  <c r="H4" i="1"/>
  <c r="E5" i="1"/>
  <c r="E6" i="1"/>
  <c r="E7" i="1"/>
  <c r="E8" i="1"/>
  <c r="E9" i="1"/>
  <c r="E10" i="1"/>
  <c r="E11" i="1"/>
  <c r="E12" i="1"/>
  <c r="E4" i="1"/>
  <c r="F5" i="1"/>
  <c r="C15" i="1"/>
  <c r="F8" i="1" l="1"/>
  <c r="I8" i="1" s="1"/>
  <c r="F10" i="1"/>
  <c r="G10" i="1" s="1"/>
  <c r="F6" i="1"/>
  <c r="G6" i="1" s="1"/>
  <c r="F12" i="1"/>
  <c r="I12" i="1" s="1"/>
  <c r="G5" i="1"/>
  <c r="I5" i="1"/>
  <c r="F11" i="1"/>
  <c r="F7" i="1"/>
  <c r="G12" i="1"/>
  <c r="I10" i="1"/>
  <c r="F4" i="1"/>
  <c r="F9" i="1"/>
  <c r="I6" i="1" l="1"/>
  <c r="G8" i="1"/>
  <c r="I7" i="1"/>
  <c r="G7" i="1"/>
  <c r="I9" i="1"/>
  <c r="G9" i="1"/>
  <c r="I11" i="1"/>
  <c r="G11" i="1"/>
  <c r="G4" i="1"/>
  <c r="I4" i="1"/>
  <c r="I15" i="1" l="1"/>
  <c r="K15" i="1" s="1"/>
  <c r="L15" i="1" l="1"/>
  <c r="G15" i="1"/>
  <c r="H15" i="1" l="1"/>
  <c r="W6" i="1" s="1"/>
  <c r="J6" i="1" l="1"/>
  <c r="J12" i="1"/>
  <c r="W8" i="1"/>
  <c r="W16" i="1"/>
  <c r="W15" i="1"/>
  <c r="J11" i="1"/>
  <c r="J4" i="1"/>
  <c r="J8" i="1"/>
  <c r="W12" i="1"/>
  <c r="W5" i="1"/>
  <c r="J7" i="1"/>
  <c r="J9" i="1"/>
  <c r="W13" i="1"/>
  <c r="W11" i="1"/>
  <c r="W10" i="1"/>
  <c r="J10" i="1"/>
  <c r="J5" i="1"/>
  <c r="W9" i="1"/>
  <c r="W7" i="1"/>
  <c r="M5" i="1" l="1"/>
  <c r="L5" i="1"/>
  <c r="K5" i="1"/>
  <c r="M10" i="1"/>
  <c r="L10" i="1"/>
  <c r="K10" i="1"/>
  <c r="M9" i="1"/>
  <c r="L9" i="1"/>
  <c r="K9" i="1"/>
  <c r="L8" i="1"/>
  <c r="M8" i="1"/>
  <c r="K8" i="1"/>
  <c r="L7" i="1"/>
  <c r="M7" i="1"/>
  <c r="K7" i="1"/>
  <c r="M4" i="1"/>
  <c r="L4" i="1"/>
  <c r="K4" i="1"/>
  <c r="M11" i="1"/>
  <c r="L11" i="1"/>
  <c r="K11" i="1"/>
  <c r="M12" i="1"/>
  <c r="L12" i="1"/>
  <c r="K12" i="1"/>
  <c r="M6" i="1"/>
  <c r="L6" i="1"/>
  <c r="K6" i="1"/>
  <c r="N15" i="1" l="1"/>
  <c r="M15" i="1"/>
  <c r="O15" i="1" s="1"/>
  <c r="P15" i="1" s="1"/>
</calcChain>
</file>

<file path=xl/sharedStrings.xml><?xml version="1.0" encoding="utf-8"?>
<sst xmlns="http://schemas.openxmlformats.org/spreadsheetml/2006/main" count="65" uniqueCount="64">
  <si>
    <t>carbon content</t>
  </si>
  <si>
    <t>stregnth</t>
  </si>
  <si>
    <t>x av</t>
  </si>
  <si>
    <t>y av</t>
  </si>
  <si>
    <t>xi-xav</t>
  </si>
  <si>
    <t>yi-yav</t>
  </si>
  <si>
    <t>recalc y</t>
  </si>
  <si>
    <t>re y -yav squared</t>
  </si>
  <si>
    <t>y-re y squ</t>
  </si>
  <si>
    <t>Steel Type</t>
  </si>
  <si>
    <t>residual</t>
  </si>
  <si>
    <t>sse</t>
  </si>
  <si>
    <t>ssr</t>
  </si>
  <si>
    <t>tss</t>
  </si>
  <si>
    <t>excell cor</t>
  </si>
  <si>
    <t>excel RSQ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</si>
  <si>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</si>
  <si>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</si>
  <si>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</si>
  <si>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</si>
  <si>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</si>
  <si>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</si>
  <si>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</si>
  <si>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</si>
  <si>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</si>
  <si>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</si>
  <si>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</si>
  <si>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</si>
  <si>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</si>
  <si>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</si>
  <si>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</si>
  <si>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</si>
  <si>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</si>
  <si>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</si>
  <si>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</si>
  <si>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</si>
  <si>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</si>
  <si>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</si>
  <si>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</si>
  <si>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</si>
  <si>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Carbon content (%)</t>
  </si>
  <si>
    <t>Strength (Mpa)</t>
  </si>
  <si>
    <t>Predicted Strength (linear)</t>
  </si>
  <si>
    <t>Predicted Strength (Polynomial Degree = 3)</t>
  </si>
  <si>
    <t>Predicted Strength (Polynomial Degree=6)</t>
  </si>
  <si>
    <t>Interpolation:0.33</t>
  </si>
  <si>
    <t>Extrapolation: 1.00</t>
  </si>
  <si>
    <t>R^2 value for the regression</t>
  </si>
  <si>
    <t>risidiual of x squared</t>
  </si>
  <si>
    <t>risidiual of x times risidiual of y</t>
  </si>
  <si>
    <t>risidiual of y squared</t>
  </si>
  <si>
    <t>sum of risidiual of x times risidiual of y</t>
  </si>
  <si>
    <t>sum of risidiual of x squared</t>
  </si>
  <si>
    <t>slope</t>
  </si>
  <si>
    <t>y intercept</t>
  </si>
  <si>
    <t>sum of residual y squared</t>
  </si>
  <si>
    <t>deviation of x</t>
  </si>
  <si>
    <t>deviaton of y</t>
  </si>
  <si>
    <t>correlation coefficint</t>
  </si>
  <si>
    <t>RESIDUAL OUTPUT</t>
  </si>
  <si>
    <t>Observation</t>
  </si>
  <si>
    <t>Predicted 315</t>
  </si>
  <si>
    <t>Residuals</t>
  </si>
  <si>
    <t>r^2= accuracy of prediction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</si>
</sst>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  <xf numFmtId="0" fontId="0" fillId="0" borderId="3" xfId="0" applyBorder="1"/>
    <xf numFmtId="0" fontId="0" fillId="2" borderId="3" xfId="0" applyFill="1" applyBorder="1"/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8" fontId="0" fillId="0" borderId="0" xfId="0" applyNumberFormat="1"/>
    <xf numFmtId="168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Carbon</a:t>
            </a:r>
            <a:r>
              <a:rPr lang="en-CA" baseline="0"/>
              <a:t> content vs. Measured strength of steel</a:t>
            </a:r>
          </a:p>
          <a:p>
            <a:pPr>
              <a:defRPr/>
            </a:pPr>
            <a:r>
              <a:rPr lang="en-CA" baseline="0"/>
              <a:t>Metallurgical Engineer: </a:t>
            </a:r>
            <a:endParaRPr lang="en-CA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0.21612455441808739"/>
                  <c:y val="0.24263705948401162"/>
                </c:manualLayout>
              </c:layout>
              <c:numFmt formatCode="General" sourceLinked="0"/>
            </c:trendlineLbl>
          </c:trendline>
          <c:xVal>
            <c:numRef>
              <c:f>Sheet1!$C$4:$C$12</c:f>
              <c:numCache>
                <c:formatCode>0.0000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Sheet1!$D$4:$D$12</c:f>
              <c:numCache>
                <c:formatCode>0.0000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63680"/>
        <c:axId val="44294528"/>
      </c:scatterChart>
      <c:valAx>
        <c:axId val="44263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Carbon Content (Weight %)</a:t>
                </a:r>
              </a:p>
            </c:rich>
          </c:tx>
          <c:layout/>
          <c:overlay val="0"/>
        </c:title>
        <c:numFmt formatCode="0.0000" sourceLinked="1"/>
        <c:majorTickMark val="out"/>
        <c:minorTickMark val="none"/>
        <c:tickLblPos val="nextTo"/>
        <c:crossAx val="44294528"/>
        <c:crosses val="autoZero"/>
        <c:crossBetween val="midCat"/>
      </c:valAx>
      <c:valAx>
        <c:axId val="442945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Strength (MPa)</a:t>
                </a:r>
              </a:p>
            </c:rich>
          </c:tx>
          <c:layout/>
          <c:overlay val="0"/>
        </c:title>
        <c:numFmt formatCode="0.0000" sourceLinked="1"/>
        <c:majorTickMark val="out"/>
        <c:minorTickMark val="none"/>
        <c:tickLblPos val="nextTo"/>
        <c:crossAx val="4426368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" l="1" r="1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Carbon</a:t>
            </a:r>
            <a:r>
              <a:rPr lang="en-CA" baseline="0"/>
              <a:t> content vs. Measured strength of steel</a:t>
            </a:r>
          </a:p>
          <a:p>
            <a:pPr>
              <a:defRPr/>
            </a:pPr>
            <a:r>
              <a:rPr lang="en-CA" baseline="0"/>
              <a:t>Metallurgical Engineer: </a:t>
            </a:r>
            <a:endParaRPr lang="en-CA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ly"/>
            <c:order val="3"/>
            <c:dispRSqr val="1"/>
            <c:dispEq val="1"/>
            <c:trendlineLbl>
              <c:layout>
                <c:manualLayout>
                  <c:x val="4.6895506283656532E-2"/>
                  <c:y val="0.18179049800260944"/>
                </c:manualLayout>
              </c:layout>
              <c:numFmt formatCode="General" sourceLinked="0"/>
            </c:trendlineLbl>
          </c:trendline>
          <c:trendline>
            <c:trendlineType val="poly"/>
            <c:order val="3"/>
            <c:dispRSqr val="0"/>
            <c:dispEq val="0"/>
          </c:trendline>
          <c:xVal>
            <c:numRef>
              <c:f>Sheet1!$C$4:$C$12</c:f>
              <c:numCache>
                <c:formatCode>0.0000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Sheet1!$D$4:$D$12</c:f>
              <c:numCache>
                <c:formatCode>0.0000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54016"/>
        <c:axId val="44055936"/>
      </c:scatterChart>
      <c:valAx>
        <c:axId val="44054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Carbon Content (Weight %)</a:t>
                </a:r>
              </a:p>
            </c:rich>
          </c:tx>
          <c:layout/>
          <c:overlay val="0"/>
        </c:title>
        <c:numFmt formatCode="0.0000" sourceLinked="1"/>
        <c:majorTickMark val="out"/>
        <c:minorTickMark val="none"/>
        <c:tickLblPos val="nextTo"/>
        <c:crossAx val="44055936"/>
        <c:crosses val="autoZero"/>
        <c:crossBetween val="midCat"/>
      </c:valAx>
      <c:valAx>
        <c:axId val="440559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Strength (MPa)</a:t>
                </a:r>
              </a:p>
            </c:rich>
          </c:tx>
          <c:layout/>
          <c:overlay val="0"/>
        </c:title>
        <c:numFmt formatCode="0.0000" sourceLinked="1"/>
        <c:majorTickMark val="out"/>
        <c:minorTickMark val="none"/>
        <c:tickLblPos val="nextTo"/>
        <c:crossAx val="440540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" l="1" r="1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Carbon content vs. Measured strength of steel</a:t>
            </a:r>
          </a:p>
          <a:p>
            <a:pPr>
              <a:defRPr/>
            </a:pPr>
            <a:r>
              <a:rPr lang="en-CA"/>
              <a:t>Metallurgical Engineer: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ly"/>
            <c:order val="6"/>
            <c:dispRSqr val="1"/>
            <c:dispEq val="1"/>
            <c:trendlineLbl>
              <c:layout>
                <c:manualLayout>
                  <c:x val="2.3230034455024775E-2"/>
                  <c:y val="0.23430074052352343"/>
                </c:manualLayout>
              </c:layout>
              <c:numFmt formatCode="#,##0.00" sourceLinked="0"/>
            </c:trendlineLbl>
          </c:trendline>
          <c:trendline>
            <c:trendlineType val="poly"/>
            <c:order val="6"/>
            <c:dispRSqr val="0"/>
            <c:dispEq val="0"/>
          </c:trendline>
          <c:xVal>
            <c:numRef>
              <c:f>Sheet1!$C$4:$C$12</c:f>
              <c:numCache>
                <c:formatCode>0.0000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Sheet1!$D$4:$D$12</c:f>
              <c:numCache>
                <c:formatCode>0.0000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77824"/>
        <c:axId val="44079744"/>
      </c:scatterChart>
      <c:valAx>
        <c:axId val="44077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Carbon Content (Weight %)</a:t>
                </a:r>
              </a:p>
            </c:rich>
          </c:tx>
          <c:layout/>
          <c:overlay val="0"/>
        </c:title>
        <c:numFmt formatCode="0.0000" sourceLinked="1"/>
        <c:majorTickMark val="out"/>
        <c:minorTickMark val="none"/>
        <c:tickLblPos val="nextTo"/>
        <c:crossAx val="44079744"/>
        <c:crosses val="autoZero"/>
        <c:crossBetween val="midCat"/>
      </c:valAx>
      <c:valAx>
        <c:axId val="4407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Strength (MPa)</a:t>
                </a:r>
              </a:p>
            </c:rich>
          </c:tx>
          <c:layout/>
          <c:overlay val="0"/>
        </c:title>
        <c:numFmt formatCode="0.0000" sourceLinked="1"/>
        <c:majorTickMark val="out"/>
        <c:minorTickMark val="none"/>
        <c:tickLblPos val="nextTo"/>
        <c:crossAx val="440778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" l="1" r="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952499</xdr:colOff>
      <xdr:row>16</xdr:row>
      <xdr:rowOff>133350</xdr:rowOff>
    </xdr:from>
    <xdr:to>
      <xdr:col>14</xdr:col>
      <xdr:colOff>57149</xdr:colOff>
      <xdr:row>38</xdr:row>
      <xdr:rowOff>109537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257175</xdr:colOff>
      <xdr:row>17</xdr:row>
      <xdr:rowOff>9525</xdr:rowOff>
    </xdr:from>
    <xdr:to>
      <xdr:col>24</xdr:col>
      <xdr:colOff>923925</xdr:colOff>
      <xdr:row>38</xdr:row>
      <xdr:rowOff>176212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0</xdr:colOff>
      <xdr:row>18</xdr:row>
      <xdr:rowOff>0</xdr:rowOff>
    </xdr:from>
    <xdr:to>
      <xdr:col>39</xdr:col>
      <xdr:colOff>238125</xdr:colOff>
      <xdr:row>39</xdr:row>
      <xdr:rowOff>166687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C42" sqref="C42"/>
    </sheetView>
  </sheetViews>
  <sheetFormatPr defaultRowHeight="15" x14ac:dyDescent="0.25"/>
  <cols>
    <col min="6" max="6" width="13.42578125" bestFit="1" customWidth="1"/>
  </cols>
  <sheetData>
    <row r="1" spans="1:9" x14ac:dyDescent="0.25">
      <c r="A1" t="s">
        <v>16</v>
      </c>
    </row>
    <row r="2" spans="1:9" ht="15.75" thickBot="1" x14ac:dyDescent="0.3"/>
    <row r="3" spans="1:9" x14ac:dyDescent="0.25">
      <c r="A3" s="4" t="s">
        <v>17</v>
      </c>
      <c r="B3" s="4"/>
    </row>
    <row r="4" spans="1:9" x14ac:dyDescent="0.25">
      <c r="A4" s="1" t="s">
        <v>18</v>
      </c>
      <c r="B4" s="1">
        <v>0.89382688600818261</v>
      </c>
    </row>
    <row r="5" spans="1:9" x14ac:dyDescent="0.25">
      <c r="A5" s="1" t="s">
        <v>19</v>
      </c>
      <c r="B5" s="1">
        <v>0.79892650215108463</v>
      </c>
    </row>
    <row r="6" spans="1:9" x14ac:dyDescent="0.25">
      <c r="A6" s="1" t="s">
        <v>20</v>
      </c>
      <c r="B6" s="1">
        <v>0.76541425250959871</v>
      </c>
    </row>
    <row r="7" spans="1:9" x14ac:dyDescent="0.25">
      <c r="A7" s="1" t="s">
        <v>21</v>
      </c>
      <c r="B7" s="1">
        <v>45.533115940916687</v>
      </c>
    </row>
    <row r="8" spans="1:9" ht="15.75" thickBot="1" x14ac:dyDescent="0.3">
      <c r="A8" s="2" t="s">
        <v>22</v>
      </c>
      <c r="B8" s="2">
        <v>8</v>
      </c>
    </row>
    <row r="10" spans="1:9" ht="15.75" thickBot="1" x14ac:dyDescent="0.3">
      <c r="A10" t="s">
        <v>23</v>
      </c>
    </row>
    <row r="11" spans="1:9" x14ac:dyDescent="0.25">
      <c r="A11" s="3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</row>
    <row r="12" spans="1:9" x14ac:dyDescent="0.25">
      <c r="A12" s="1" t="s">
        <v>24</v>
      </c>
      <c r="B12" s="1">
        <v>1</v>
      </c>
      <c r="C12" s="1">
        <v>49426.287116266234</v>
      </c>
      <c r="D12" s="1">
        <v>49426.287116266234</v>
      </c>
      <c r="E12" s="1">
        <v>23.839835006542433</v>
      </c>
      <c r="F12" s="1">
        <v>2.7589470287503405E-3</v>
      </c>
    </row>
    <row r="13" spans="1:9" x14ac:dyDescent="0.25">
      <c r="A13" s="1" t="s">
        <v>25</v>
      </c>
      <c r="B13" s="1">
        <v>6</v>
      </c>
      <c r="C13" s="1">
        <v>12439.58788373377</v>
      </c>
      <c r="D13" s="1">
        <v>2073.2646472889614</v>
      </c>
      <c r="E13" s="1"/>
      <c r="F13" s="1"/>
    </row>
    <row r="14" spans="1:9" ht="15.75" thickBot="1" x14ac:dyDescent="0.3">
      <c r="A14" s="2" t="s">
        <v>26</v>
      </c>
      <c r="B14" s="2">
        <v>7</v>
      </c>
      <c r="C14" s="2">
        <v>61865.875</v>
      </c>
      <c r="D14" s="2"/>
      <c r="E14" s="2"/>
      <c r="F14" s="2"/>
    </row>
    <row r="15" spans="1:9" ht="15.75" thickBot="1" x14ac:dyDescent="0.3"/>
    <row r="16" spans="1:9" x14ac:dyDescent="0.25">
      <c r="A16" s="3"/>
      <c r="B16" s="3" t="s">
        <v>33</v>
      </c>
      <c r="C16" s="3" t="s">
        <v>21</v>
      </c>
      <c r="D16" s="3" t="s">
        <v>34</v>
      </c>
      <c r="E16" s="3" t="s">
        <v>35</v>
      </c>
      <c r="F16" s="3" t="s">
        <v>36</v>
      </c>
      <c r="G16" s="3" t="s">
        <v>37</v>
      </c>
      <c r="H16" s="3" t="s">
        <v>38</v>
      </c>
      <c r="I16" s="3" t="s">
        <v>39</v>
      </c>
    </row>
    <row r="17" spans="1:9" x14ac:dyDescent="0.25">
      <c r="A17" s="1" t="s">
        <v>27</v>
      </c>
      <c r="B17" s="1">
        <v>289.74550560449313</v>
      </c>
      <c r="C17" s="1">
        <v>35.207099538178269</v>
      </c>
      <c r="D17" s="1">
        <v>8.2297465399072607</v>
      </c>
      <c r="E17" s="1">
        <v>1.7382574136179705E-4</v>
      </c>
      <c r="F17" s="1">
        <v>203.59683650008412</v>
      </c>
      <c r="G17" s="1">
        <v>375.89417470890214</v>
      </c>
      <c r="H17" s="1">
        <v>203.59683650008412</v>
      </c>
      <c r="I17" s="1">
        <v>375.89417470890214</v>
      </c>
    </row>
    <row r="18" spans="1:9" ht="15.75" thickBot="1" x14ac:dyDescent="0.3">
      <c r="A18" s="2">
        <v>0.15</v>
      </c>
      <c r="B18" s="2">
        <v>308.06951011689034</v>
      </c>
      <c r="C18" s="2">
        <v>63.095312444100159</v>
      </c>
      <c r="D18" s="2">
        <v>4.882605350275858</v>
      </c>
      <c r="E18" s="2">
        <v>2.7589470287503405E-3</v>
      </c>
      <c r="F18" s="2">
        <v>153.68084234572697</v>
      </c>
      <c r="G18" s="2">
        <v>462.45817788805368</v>
      </c>
      <c r="H18" s="2">
        <v>153.68084234572697</v>
      </c>
      <c r="I18" s="2">
        <v>462.45817788805368</v>
      </c>
    </row>
    <row r="22" spans="1:9" x14ac:dyDescent="0.25">
      <c r="A22" t="s">
        <v>59</v>
      </c>
    </row>
    <row r="23" spans="1:9" ht="15.75" thickBot="1" x14ac:dyDescent="0.3"/>
    <row r="24" spans="1:9" x14ac:dyDescent="0.25">
      <c r="A24" s="3" t="s">
        <v>60</v>
      </c>
      <c r="B24" s="3" t="s">
        <v>61</v>
      </c>
      <c r="C24" s="3" t="s">
        <v>62</v>
      </c>
    </row>
    <row r="25" spans="1:9" x14ac:dyDescent="0.25">
      <c r="A25" s="1">
        <v>1</v>
      </c>
      <c r="B25" s="1">
        <v>351.35940762787118</v>
      </c>
      <c r="C25" s="1">
        <v>-21.359407627871178</v>
      </c>
    </row>
    <row r="26" spans="1:9" x14ac:dyDescent="0.25">
      <c r="A26" s="1">
        <v>2</v>
      </c>
      <c r="B26" s="1">
        <v>357.52079783020901</v>
      </c>
      <c r="C26" s="1">
        <v>0.4792021697909945</v>
      </c>
    </row>
    <row r="27" spans="1:9" x14ac:dyDescent="0.25">
      <c r="A27" s="1">
        <v>3</v>
      </c>
      <c r="B27" s="1">
        <v>382.16635863956026</v>
      </c>
      <c r="C27" s="1">
        <v>-37.166358639560258</v>
      </c>
    </row>
    <row r="28" spans="1:9" x14ac:dyDescent="0.25">
      <c r="A28" s="1">
        <v>4</v>
      </c>
      <c r="B28" s="1">
        <v>412.97330965124928</v>
      </c>
      <c r="C28" s="1">
        <v>2.0266903487507193</v>
      </c>
    </row>
    <row r="29" spans="1:9" x14ac:dyDescent="0.25">
      <c r="A29" s="1">
        <v>5</v>
      </c>
      <c r="B29" s="1">
        <v>443.7802606629383</v>
      </c>
      <c r="C29" s="1">
        <v>63.219739337061696</v>
      </c>
    </row>
    <row r="30" spans="1:9" x14ac:dyDescent="0.25">
      <c r="A30" s="1">
        <v>6</v>
      </c>
      <c r="B30" s="1">
        <v>474.58721167462733</v>
      </c>
      <c r="C30" s="1">
        <v>8.4127883253726736</v>
      </c>
    </row>
    <row r="31" spans="1:9" x14ac:dyDescent="0.25">
      <c r="A31" s="1">
        <v>7</v>
      </c>
      <c r="B31" s="1">
        <v>536.20111369800543</v>
      </c>
      <c r="C31" s="1">
        <v>48.798886301994571</v>
      </c>
    </row>
    <row r="32" spans="1:9" ht="15.75" thickBot="1" x14ac:dyDescent="0.3">
      <c r="A32" s="2">
        <v>8</v>
      </c>
      <c r="B32" s="2">
        <v>582.41154021553893</v>
      </c>
      <c r="C32" s="2">
        <v>-64.411540215538935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Y16"/>
  <sheetViews>
    <sheetView tabSelected="1" topLeftCell="F1" zoomScaleNormal="100" workbookViewId="0">
      <selection activeCell="U16" sqref="U16:V16"/>
    </sheetView>
  </sheetViews>
  <sheetFormatPr defaultRowHeight="15" x14ac:dyDescent="0.25"/>
  <cols>
    <col min="3" max="3" width="14.85546875" bestFit="1" customWidth="1"/>
    <col min="4" max="4" width="12.85546875" bestFit="1" customWidth="1"/>
    <col min="5" max="5" width="35.85546875" bestFit="1" customWidth="1"/>
    <col min="6" max="6" width="26.42578125" bestFit="1" customWidth="1"/>
    <col min="7" max="7" width="29.42578125" bestFit="1" customWidth="1"/>
    <col min="8" max="8" width="20.140625" bestFit="1" customWidth="1"/>
    <col min="9" max="9" width="24" bestFit="1" customWidth="1"/>
    <col min="10" max="10" width="13.28515625" bestFit="1" customWidth="1"/>
    <col min="11" max="11" width="16.140625" bestFit="1" customWidth="1"/>
    <col min="12" max="12" width="19.85546875" bestFit="1" customWidth="1"/>
    <col min="13" max="13" width="14" bestFit="1" customWidth="1"/>
    <col min="14" max="15" width="10.5703125" bestFit="1" customWidth="1"/>
    <col min="16" max="16" width="24.85546875" bestFit="1" customWidth="1"/>
    <col min="17" max="17" width="9.42578125" bestFit="1" customWidth="1"/>
    <col min="18" max="18" width="12" customWidth="1"/>
    <col min="19" max="19" width="8.42578125" customWidth="1"/>
    <col min="21" max="21" width="13.28515625" customWidth="1"/>
    <col min="22" max="22" width="13.85546875" customWidth="1"/>
    <col min="23" max="23" width="10.140625" customWidth="1"/>
    <col min="24" max="24" width="18.140625" customWidth="1"/>
    <col min="25" max="25" width="17.85546875" customWidth="1"/>
  </cols>
  <sheetData>
    <row r="2" spans="3:25" x14ac:dyDescent="0.25">
      <c r="T2" s="7" t="s">
        <v>9</v>
      </c>
      <c r="U2" s="7" t="s">
        <v>40</v>
      </c>
      <c r="V2" s="7" t="s">
        <v>41</v>
      </c>
      <c r="W2" s="7" t="s">
        <v>42</v>
      </c>
      <c r="X2" s="7" t="s">
        <v>43</v>
      </c>
      <c r="Y2" s="7" t="s">
        <v>44</v>
      </c>
    </row>
    <row r="3" spans="3:25" x14ac:dyDescent="0.25">
      <c r="C3" s="5" t="s">
        <v>0</v>
      </c>
      <c r="D3" s="5" t="s">
        <v>1</v>
      </c>
      <c r="E3" s="5" t="s">
        <v>4</v>
      </c>
      <c r="F3" s="5" t="s">
        <v>5</v>
      </c>
      <c r="G3" s="5" t="s">
        <v>49</v>
      </c>
      <c r="H3" s="5" t="s">
        <v>48</v>
      </c>
      <c r="I3" s="5" t="s">
        <v>50</v>
      </c>
      <c r="J3" s="5" t="s">
        <v>6</v>
      </c>
      <c r="K3" s="5" t="s">
        <v>7</v>
      </c>
      <c r="L3" s="5" t="s">
        <v>8</v>
      </c>
      <c r="M3" s="5" t="s">
        <v>10</v>
      </c>
      <c r="T3" s="7"/>
      <c r="U3" s="7"/>
      <c r="V3" s="7"/>
      <c r="W3" s="7"/>
      <c r="X3" s="7"/>
      <c r="Y3" s="7"/>
    </row>
    <row r="4" spans="3:25" x14ac:dyDescent="0.25">
      <c r="C4" s="11">
        <v>0.15</v>
      </c>
      <c r="D4" s="11">
        <v>315</v>
      </c>
      <c r="E4" s="11">
        <f>C4-C$15</f>
        <v>-0.30777777777777782</v>
      </c>
      <c r="F4" s="11">
        <f>D4-D$15</f>
        <v>-113.44444444444446</v>
      </c>
      <c r="G4" s="11">
        <f>E4*F4</f>
        <v>34.915679012345684</v>
      </c>
      <c r="H4" s="11">
        <f>E4^2</f>
        <v>9.4727160493827178E-2</v>
      </c>
      <c r="I4" s="11">
        <f>F4^2</f>
        <v>12869.641975308645</v>
      </c>
      <c r="J4" s="11">
        <f>$G$15*C4+$H$15</f>
        <v>330.46326733023977</v>
      </c>
      <c r="K4" s="11">
        <f>(J4-D$15)^2</f>
        <v>9600.3110686851469</v>
      </c>
      <c r="L4" s="11">
        <f>(D4-J4)^2</f>
        <v>239.11263652646068</v>
      </c>
      <c r="M4" s="11">
        <f>D4-J4</f>
        <v>-15.463267330239773</v>
      </c>
      <c r="N4" s="10"/>
      <c r="O4" s="10"/>
      <c r="P4" s="10"/>
      <c r="Q4" s="10"/>
      <c r="R4" s="10"/>
      <c r="T4" s="7"/>
      <c r="U4" s="7"/>
      <c r="V4" s="7"/>
      <c r="W4" s="7"/>
      <c r="X4" s="7"/>
      <c r="Y4" s="7"/>
    </row>
    <row r="5" spans="3:25" x14ac:dyDescent="0.25">
      <c r="C5" s="11">
        <v>0.2</v>
      </c>
      <c r="D5" s="11">
        <v>330</v>
      </c>
      <c r="E5" s="11">
        <f t="shared" ref="E5:E12" si="0">C5-C$15</f>
        <v>-0.25777777777777777</v>
      </c>
      <c r="F5" s="11">
        <f t="shared" ref="F5:F12" si="1">D5-D$15</f>
        <v>-98.444444444444457</v>
      </c>
      <c r="G5" s="11">
        <f t="shared" ref="G5:G12" si="2">E5*F5</f>
        <v>25.376790123456793</v>
      </c>
      <c r="H5" s="11">
        <f t="shared" ref="H5:H12" si="3">E5^2</f>
        <v>6.6449382716049374E-2</v>
      </c>
      <c r="I5" s="11">
        <f t="shared" ref="I5:I12" si="4">F5^2</f>
        <v>9691.3086419753108</v>
      </c>
      <c r="J5" s="11">
        <f t="shared" ref="J5:J12" si="5">$G$15*C5+$H$15</f>
        <v>346.38078707803481</v>
      </c>
      <c r="K5" s="11">
        <f t="shared" ref="K5:K12" si="6">(J5-D$15)^2</f>
        <v>6734.44386035148</v>
      </c>
      <c r="L5" s="11">
        <f t="shared" ref="L5:L12" si="7">(D5-J5)^2</f>
        <v>268.33018529591232</v>
      </c>
      <c r="M5" s="11">
        <f t="shared" ref="M5:M12" si="8">D5-J5</f>
        <v>-16.380787078034814</v>
      </c>
      <c r="N5" s="10"/>
      <c r="O5" s="10"/>
      <c r="P5" s="10"/>
      <c r="Q5" s="10"/>
      <c r="R5" s="10"/>
      <c r="T5" s="5">
        <v>1015</v>
      </c>
      <c r="U5" s="5">
        <v>0.15</v>
      </c>
      <c r="V5" s="5">
        <v>315</v>
      </c>
      <c r="W5" s="5">
        <f>$G$15*C4+$H$15</f>
        <v>330.46326733023977</v>
      </c>
      <c r="X5" s="5">
        <f>-1588.6*(U5)^3+2152.2*(U5)^2-420.71*(U5)+341.86</f>
        <v>321.81647500000003</v>
      </c>
      <c r="Y5" s="5">
        <f xml:space="preserve"> -360978.87*(U5)^6 + 1110314.48*(U5)^5 - 1334217.86*(U5)^4 + 793399.03*(U5)^3 - 243612.94*(U5)^2 + 36710.63*(U5) - 1795.62</f>
        <v>312.16001550890542</v>
      </c>
    </row>
    <row r="6" spans="3:25" x14ac:dyDescent="0.25">
      <c r="C6" s="11">
        <v>0.22</v>
      </c>
      <c r="D6" s="11">
        <v>358</v>
      </c>
      <c r="E6" s="11">
        <f t="shared" si="0"/>
        <v>-0.23777777777777778</v>
      </c>
      <c r="F6" s="11">
        <f t="shared" si="1"/>
        <v>-70.444444444444457</v>
      </c>
      <c r="G6" s="11">
        <f t="shared" si="2"/>
        <v>16.750123456790128</v>
      </c>
      <c r="H6" s="11">
        <f t="shared" si="3"/>
        <v>5.6538271604938274E-2</v>
      </c>
      <c r="I6" s="11">
        <f t="shared" si="4"/>
        <v>4962.4197530864212</v>
      </c>
      <c r="J6" s="11">
        <f t="shared" si="5"/>
        <v>352.74779497715275</v>
      </c>
      <c r="K6" s="11">
        <f t="shared" si="6"/>
        <v>5729.9827405740334</v>
      </c>
      <c r="L6" s="11">
        <f t="shared" si="7"/>
        <v>27.585657602021875</v>
      </c>
      <c r="M6" s="11">
        <f t="shared" si="8"/>
        <v>5.2522050228472494</v>
      </c>
      <c r="N6" s="10"/>
      <c r="O6" s="10"/>
      <c r="P6" s="10"/>
      <c r="Q6" s="10"/>
      <c r="R6" s="10"/>
      <c r="T6" s="6">
        <v>1020</v>
      </c>
      <c r="U6" s="6">
        <v>0.2</v>
      </c>
      <c r="V6" s="6">
        <v>330</v>
      </c>
      <c r="W6" s="6">
        <f t="shared" ref="W6:W13" si="9">$G$15*C5+$H$15</f>
        <v>346.38078707803481</v>
      </c>
      <c r="X6" s="6">
        <f t="shared" ref="X6:X13" si="10">-1588.6*(U6)^3+2152.2*(U6)^2-420.71*(U6)+341.86</f>
        <v>331.09720000000004</v>
      </c>
      <c r="Y6" s="6">
        <f t="shared" ref="Y6:Y13" si="11">(-359766)*(U6)^6+1107190.86*(U6)^5-1331045*(U6)^4+791779*(U6)^3-243177*(U6)^2+36652*(U6)-1792.6</f>
        <v>346.55605119999973</v>
      </c>
    </row>
    <row r="7" spans="3:25" x14ac:dyDescent="0.25">
      <c r="C7" s="11">
        <v>0.3</v>
      </c>
      <c r="D7" s="11">
        <v>345</v>
      </c>
      <c r="E7" s="11">
        <f t="shared" si="0"/>
        <v>-0.15777777777777779</v>
      </c>
      <c r="F7" s="11">
        <f t="shared" si="1"/>
        <v>-83.444444444444457</v>
      </c>
      <c r="G7" s="11">
        <f t="shared" si="2"/>
        <v>13.165679012345683</v>
      </c>
      <c r="H7" s="11">
        <f t="shared" si="3"/>
        <v>2.4893827160493834E-2</v>
      </c>
      <c r="I7" s="11">
        <f t="shared" si="4"/>
        <v>6962.9753086419778</v>
      </c>
      <c r="J7" s="11">
        <f t="shared" si="5"/>
        <v>378.21582657362472</v>
      </c>
      <c r="K7" s="11">
        <f t="shared" si="6"/>
        <v>2522.9140532128313</v>
      </c>
      <c r="L7" s="11">
        <f t="shared" si="7"/>
        <v>1103.2911349691144</v>
      </c>
      <c r="M7" s="11">
        <f t="shared" si="8"/>
        <v>-33.215826573624724</v>
      </c>
      <c r="N7" s="10"/>
      <c r="O7" s="10"/>
      <c r="P7" s="10"/>
      <c r="Q7" s="10"/>
      <c r="R7" s="10"/>
      <c r="T7" s="5">
        <v>1022</v>
      </c>
      <c r="U7" s="5">
        <v>0.22</v>
      </c>
      <c r="V7" s="5">
        <v>358</v>
      </c>
      <c r="W7" s="5">
        <f t="shared" si="9"/>
        <v>352.74779497715275</v>
      </c>
      <c r="X7" s="5">
        <f t="shared" si="10"/>
        <v>336.55486719999999</v>
      </c>
      <c r="Y7" s="5">
        <f t="shared" si="11"/>
        <v>343.69840687788792</v>
      </c>
    </row>
    <row r="8" spans="3:25" x14ac:dyDescent="0.25">
      <c r="C8" s="11">
        <v>0.4</v>
      </c>
      <c r="D8" s="11">
        <v>415</v>
      </c>
      <c r="E8" s="11">
        <f t="shared" si="0"/>
        <v>-5.7777777777777761E-2</v>
      </c>
      <c r="F8" s="11">
        <f t="shared" si="1"/>
        <v>-13.444444444444457</v>
      </c>
      <c r="G8" s="11">
        <f t="shared" si="2"/>
        <v>0.77679012345679066</v>
      </c>
      <c r="H8" s="11">
        <f t="shared" si="3"/>
        <v>3.3382716049382699E-3</v>
      </c>
      <c r="I8" s="11">
        <f t="shared" si="4"/>
        <v>180.75308641975343</v>
      </c>
      <c r="J8" s="11">
        <f t="shared" si="5"/>
        <v>410.05086606921469</v>
      </c>
      <c r="K8" s="11">
        <f t="shared" si="6"/>
        <v>338.32372544572007</v>
      </c>
      <c r="L8" s="11">
        <f t="shared" si="7"/>
        <v>24.493926664850434</v>
      </c>
      <c r="M8" s="11">
        <f t="shared" si="8"/>
        <v>4.9491339307853082</v>
      </c>
      <c r="N8" s="10"/>
      <c r="O8" s="10"/>
      <c r="P8" s="10"/>
      <c r="Q8" s="10"/>
      <c r="R8" s="10"/>
      <c r="T8" s="6">
        <v>1030</v>
      </c>
      <c r="U8" s="6">
        <v>0.3</v>
      </c>
      <c r="V8" s="6">
        <v>345</v>
      </c>
      <c r="W8" s="6">
        <f t="shared" si="9"/>
        <v>378.21582657362472</v>
      </c>
      <c r="X8" s="6">
        <f t="shared" si="10"/>
        <v>366.45280000000002</v>
      </c>
      <c r="Y8" s="6">
        <f t="shared" si="11"/>
        <v>341.84287579999955</v>
      </c>
    </row>
    <row r="9" spans="3:25" x14ac:dyDescent="0.25">
      <c r="C9" s="11">
        <v>0.5</v>
      </c>
      <c r="D9" s="11">
        <v>507</v>
      </c>
      <c r="E9" s="11">
        <f t="shared" si="0"/>
        <v>4.2222222222222217E-2</v>
      </c>
      <c r="F9" s="11">
        <f t="shared" si="1"/>
        <v>78.555555555555543</v>
      </c>
      <c r="G9" s="11">
        <f t="shared" si="2"/>
        <v>3.3167901234567894</v>
      </c>
      <c r="H9" s="11">
        <f t="shared" si="3"/>
        <v>1.7827160493827155E-3</v>
      </c>
      <c r="I9" s="11">
        <f t="shared" si="4"/>
        <v>6170.9753086419732</v>
      </c>
      <c r="J9" s="11">
        <f t="shared" si="5"/>
        <v>441.8859055648046</v>
      </c>
      <c r="K9" s="11">
        <f t="shared" si="6"/>
        <v>180.6728770501534</v>
      </c>
      <c r="L9" s="11">
        <f t="shared" si="7"/>
        <v>4239.8452941155447</v>
      </c>
      <c r="M9" s="11">
        <f t="shared" si="8"/>
        <v>65.114094435195398</v>
      </c>
      <c r="N9" s="10"/>
      <c r="O9" s="10"/>
      <c r="P9" s="10"/>
      <c r="Q9" s="10"/>
      <c r="R9" s="10"/>
      <c r="T9" s="5">
        <v>1040</v>
      </c>
      <c r="U9" s="5">
        <v>0.4</v>
      </c>
      <c r="V9" s="5">
        <v>415</v>
      </c>
      <c r="W9" s="5">
        <f t="shared" si="9"/>
        <v>410.05086606921469</v>
      </c>
      <c r="X9" s="5">
        <f t="shared" si="10"/>
        <v>416.25760000000002</v>
      </c>
      <c r="Y9" s="5">
        <f t="shared" si="11"/>
        <v>423.01687039999933</v>
      </c>
    </row>
    <row r="10" spans="3:25" x14ac:dyDescent="0.25">
      <c r="C10" s="11">
        <v>0.6</v>
      </c>
      <c r="D10" s="11">
        <v>483</v>
      </c>
      <c r="E10" s="11">
        <f t="shared" si="0"/>
        <v>0.14222222222222219</v>
      </c>
      <c r="F10" s="11">
        <f t="shared" si="1"/>
        <v>54.555555555555543</v>
      </c>
      <c r="G10" s="11">
        <f t="shared" si="2"/>
        <v>7.7590123456790092</v>
      </c>
      <c r="H10" s="11">
        <f t="shared" si="3"/>
        <v>2.0227160493827154E-2</v>
      </c>
      <c r="I10" s="11">
        <f t="shared" si="4"/>
        <v>2976.3086419753072</v>
      </c>
      <c r="J10" s="11">
        <f t="shared" si="5"/>
        <v>473.72094506039457</v>
      </c>
      <c r="K10" s="11">
        <f t="shared" si="6"/>
        <v>2049.961508026131</v>
      </c>
      <c r="L10" s="11">
        <f t="shared" si="7"/>
        <v>86.100860572215936</v>
      </c>
      <c r="M10" s="11">
        <f t="shared" si="8"/>
        <v>9.2790549396054303</v>
      </c>
      <c r="N10" s="10"/>
      <c r="O10" s="10"/>
      <c r="P10" s="10"/>
      <c r="Q10" s="10"/>
      <c r="R10" s="10"/>
      <c r="T10" s="6">
        <v>1050</v>
      </c>
      <c r="U10" s="6">
        <v>0.5</v>
      </c>
      <c r="V10" s="6">
        <v>507</v>
      </c>
      <c r="W10" s="6">
        <f t="shared" si="9"/>
        <v>441.8859055648046</v>
      </c>
      <c r="X10" s="6">
        <f t="shared" si="10"/>
        <v>470.98</v>
      </c>
      <c r="Y10" s="6">
        <f t="shared" si="11"/>
        <v>499.58312500000329</v>
      </c>
    </row>
    <row r="11" spans="3:25" x14ac:dyDescent="0.25">
      <c r="C11" s="11">
        <v>0.8</v>
      </c>
      <c r="D11" s="11">
        <v>585</v>
      </c>
      <c r="E11" s="11">
        <f t="shared" si="0"/>
        <v>0.34222222222222226</v>
      </c>
      <c r="F11" s="11">
        <f t="shared" si="1"/>
        <v>156.55555555555554</v>
      </c>
      <c r="G11" s="11">
        <f t="shared" si="2"/>
        <v>53.576790123456789</v>
      </c>
      <c r="H11" s="11">
        <f t="shared" si="3"/>
        <v>0.11711604938271608</v>
      </c>
      <c r="I11" s="11">
        <f t="shared" si="4"/>
        <v>24509.641975308637</v>
      </c>
      <c r="J11" s="11">
        <f t="shared" si="5"/>
        <v>537.3910240515745</v>
      </c>
      <c r="K11" s="11">
        <f t="shared" si="6"/>
        <v>11869.357208092724</v>
      </c>
      <c r="L11" s="11">
        <f t="shared" si="7"/>
        <v>2266.6145908577573</v>
      </c>
      <c r="M11" s="11">
        <f t="shared" si="8"/>
        <v>47.608975948425496</v>
      </c>
      <c r="N11" s="10"/>
      <c r="O11" s="10"/>
      <c r="P11" s="10"/>
      <c r="Q11" s="10"/>
      <c r="R11" s="10"/>
      <c r="T11" s="5">
        <v>1060</v>
      </c>
      <c r="U11" s="5">
        <v>0.6</v>
      </c>
      <c r="V11" s="5">
        <v>483</v>
      </c>
      <c r="W11" s="5">
        <f t="shared" si="9"/>
        <v>473.72094506039457</v>
      </c>
      <c r="X11" s="5">
        <f t="shared" si="10"/>
        <v>521.08839999999998</v>
      </c>
      <c r="Y11" s="5">
        <f t="shared" si="11"/>
        <v>485.63077760001261</v>
      </c>
    </row>
    <row r="12" spans="3:25" x14ac:dyDescent="0.25">
      <c r="C12" s="11">
        <v>0.95</v>
      </c>
      <c r="D12" s="11">
        <v>518</v>
      </c>
      <c r="E12" s="11">
        <f t="shared" si="0"/>
        <v>0.49222222222222217</v>
      </c>
      <c r="F12" s="11">
        <f t="shared" si="1"/>
        <v>89.555555555555543</v>
      </c>
      <c r="G12" s="11">
        <f t="shared" si="2"/>
        <v>44.081234567901227</v>
      </c>
      <c r="H12" s="11">
        <f t="shared" si="3"/>
        <v>0.24228271604938267</v>
      </c>
      <c r="I12" s="11">
        <f t="shared" si="4"/>
        <v>8020.197530864195</v>
      </c>
      <c r="J12" s="11">
        <f t="shared" si="5"/>
        <v>585.1435832949594</v>
      </c>
      <c r="K12" s="11">
        <f t="shared" si="6"/>
        <v>24554.620116492963</v>
      </c>
      <c r="L12" s="11">
        <f t="shared" si="7"/>
        <v>4508.2607776871509</v>
      </c>
      <c r="M12" s="11">
        <f t="shared" si="8"/>
        <v>-67.143583294959399</v>
      </c>
      <c r="N12" s="10"/>
      <c r="O12" s="10"/>
      <c r="P12" s="10"/>
      <c r="Q12" s="10"/>
      <c r="R12" s="10"/>
      <c r="T12" s="6">
        <v>1080</v>
      </c>
      <c r="U12" s="6">
        <v>0.8</v>
      </c>
      <c r="V12" s="6">
        <v>585</v>
      </c>
      <c r="W12" s="6">
        <f t="shared" si="9"/>
        <v>537.3910240515745</v>
      </c>
      <c r="X12" s="6">
        <f t="shared" si="10"/>
        <v>569.33680000000004</v>
      </c>
      <c r="Y12" s="6">
        <f t="shared" si="11"/>
        <v>584.33870080003044</v>
      </c>
    </row>
    <row r="13" spans="3:25" x14ac:dyDescent="0.25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T13" s="5">
        <v>1095</v>
      </c>
      <c r="U13" s="5">
        <v>0.95</v>
      </c>
      <c r="V13" s="5">
        <v>518</v>
      </c>
      <c r="W13" s="5">
        <f t="shared" si="9"/>
        <v>585.1435832949594</v>
      </c>
      <c r="X13" s="5">
        <f t="shared" si="10"/>
        <v>522.52007500000013</v>
      </c>
      <c r="Y13" s="5">
        <f t="shared" si="11"/>
        <v>528.71861338744793</v>
      </c>
    </row>
    <row r="14" spans="3:25" x14ac:dyDescent="0.25">
      <c r="C14" s="11" t="s">
        <v>2</v>
      </c>
      <c r="D14" s="11" t="s">
        <v>3</v>
      </c>
      <c r="E14" s="11" t="s">
        <v>51</v>
      </c>
      <c r="F14" s="11" t="s">
        <v>52</v>
      </c>
      <c r="G14" s="11" t="s">
        <v>53</v>
      </c>
      <c r="H14" s="11" t="s">
        <v>54</v>
      </c>
      <c r="I14" s="11" t="s">
        <v>55</v>
      </c>
      <c r="J14" s="11" t="s">
        <v>56</v>
      </c>
      <c r="K14" s="11" t="s">
        <v>57</v>
      </c>
      <c r="L14" s="11" t="s">
        <v>58</v>
      </c>
      <c r="M14" s="11" t="s">
        <v>11</v>
      </c>
      <c r="N14" s="11" t="s">
        <v>12</v>
      </c>
      <c r="O14" s="11" t="s">
        <v>13</v>
      </c>
      <c r="P14" s="11" t="s">
        <v>63</v>
      </c>
      <c r="Q14" s="11" t="s">
        <v>14</v>
      </c>
      <c r="R14" s="11" t="s">
        <v>15</v>
      </c>
      <c r="T14" s="6"/>
      <c r="U14" s="8" t="s">
        <v>47</v>
      </c>
      <c r="V14" s="8"/>
      <c r="W14" s="6">
        <v>0.83279999999999998</v>
      </c>
      <c r="X14" s="6">
        <v>0.94779999999999998</v>
      </c>
      <c r="Y14" s="6">
        <v>0.99</v>
      </c>
    </row>
    <row r="15" spans="3:25" x14ac:dyDescent="0.25">
      <c r="C15" s="11">
        <f>AVERAGE(C4:C12)</f>
        <v>0.45777777777777778</v>
      </c>
      <c r="D15" s="11">
        <f>AVERAGE(D4:D12)</f>
        <v>428.44444444444446</v>
      </c>
      <c r="E15" s="11">
        <f>SUM(G4:G12)</f>
        <v>199.71888888888887</v>
      </c>
      <c r="F15" s="11">
        <f>SUM(H4:H12)</f>
        <v>0.62735555555555556</v>
      </c>
      <c r="G15" s="11">
        <f>E15/F15</f>
        <v>318.3503949558995</v>
      </c>
      <c r="H15" s="11">
        <f>D15-(G15*C15)</f>
        <v>282.71070808685488</v>
      </c>
      <c r="I15" s="11">
        <f>SUM(I4:I12)</f>
        <v>76344.222222222234</v>
      </c>
      <c r="J15" s="11">
        <f>(F15/8)^(1/2)</f>
        <v>0.28003472006957358</v>
      </c>
      <c r="K15" s="11">
        <f>(I15/8)^(1/2)</f>
        <v>97.688421922855213</v>
      </c>
      <c r="L15" s="11">
        <f>E15/(8*J15*K15)</f>
        <v>0.91258679361116946</v>
      </c>
      <c r="M15" s="11">
        <f>SUM(L4:L12)</f>
        <v>12763.635064291029</v>
      </c>
      <c r="N15" s="11">
        <f>SUM(K4:K12)</f>
        <v>63580.587157931179</v>
      </c>
      <c r="O15" s="11">
        <f>M15+N15</f>
        <v>76344.222222222204</v>
      </c>
      <c r="P15" s="11">
        <f>N15/O15</f>
        <v>0.83281465587351544</v>
      </c>
      <c r="Q15" s="11">
        <f>CORREL(C4:C12,D4:D12)</f>
        <v>0.91258679361116957</v>
      </c>
      <c r="R15" s="11">
        <f>RSQ(C4:C12,D4:D12)</f>
        <v>0.83281465587351522</v>
      </c>
      <c r="T15" s="5"/>
      <c r="U15" s="9" t="s">
        <v>45</v>
      </c>
      <c r="V15" s="9"/>
      <c r="W15" s="5">
        <f>$G$15*0.33+$H$15</f>
        <v>387.76633842230171</v>
      </c>
      <c r="X15" s="5">
        <f>-1588.6*(0.33)^3 + 2152.2*(0.33)^2 - 420.71*(0.33) + 341.86</f>
        <v>380.31076180000002</v>
      </c>
      <c r="Y15" s="5">
        <f xml:space="preserve"> -360978.87*(0.33)^6 + 1110314.48*(0.33)^5 - 1334217.86*(0.33)^4 + 793399.03*(0.33)^3 - 243612.94*(0.33)^2 + 36710.63*(0.33) - 1795.62</f>
        <v>358.11659236764808</v>
      </c>
    </row>
    <row r="16" spans="3:25" x14ac:dyDescent="0.25">
      <c r="T16" s="6"/>
      <c r="U16" s="8" t="s">
        <v>46</v>
      </c>
      <c r="V16" s="8"/>
      <c r="W16" s="6">
        <f>$G$15*1+$H$15</f>
        <v>601.06110304275444</v>
      </c>
      <c r="X16" s="6">
        <f>-1588.6*(1)^3 + 2152.2*(1)^2 - 420.71*(1) + 341.86</f>
        <v>484.74999999999994</v>
      </c>
      <c r="Y16" s="6">
        <f>(-359766)*(1)^6+1107190.86*(1)^5-1331045*(1)^4+791779*(1)^3-243177*(1)^2+36652*(1)-1792.6</f>
        <v>-158.73999999989746</v>
      </c>
    </row>
  </sheetData>
  <mergeCells count="9">
    <mergeCell ref="Y2:Y4"/>
    <mergeCell ref="U14:V14"/>
    <mergeCell ref="U15:V15"/>
    <mergeCell ref="U16:V16"/>
    <mergeCell ref="T2:T4"/>
    <mergeCell ref="U2:U4"/>
    <mergeCell ref="V2:V4"/>
    <mergeCell ref="W2:W4"/>
    <mergeCell ref="X2:X4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5" sqref="A25"/>
    </sheetView>
  </sheetViews>
  <sheetFormatPr defaultRowHeight="15" x14ac:dyDescent="0.25"/>
  <cols>
    <col min="4" max="4" width="10.28515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Sheet6</vt:lpstr>
      <vt:lpstr>Sheet1</vt:lpstr>
      <vt:lpstr>Sheet2</vt:lpstr>
      <vt:lpstr>Sheet3</vt:lpstr>
    </vt:vector>
  </TitlesOfParts>
  <Company>MAE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Buckley</dc:creator>
  <cp:lastModifiedBy>Aspire</cp:lastModifiedBy>
  <cp:lastPrinted>2013-11-16T22:17:55Z</cp:lastPrinted>
  <dcterms:created xsi:type="dcterms:W3CDTF">2013-11-11T16:58:26Z</dcterms:created>
  <dcterms:modified xsi:type="dcterms:W3CDTF">2015-11-17T18:00:11Z</dcterms:modified>
</cp:coreProperties>
</file>