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di\Documents\Second Year\MAAE 2300\Lab 1\"/>
    </mc:Choice>
  </mc:AlternateContent>
  <bookViews>
    <workbookView xWindow="0" yWindow="0" windowWidth="7470" windowHeight="768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42" i="1" l="1"/>
  <c r="C41" i="1"/>
  <c r="L11" i="1"/>
  <c r="N29" i="2"/>
  <c r="P29" i="2" s="1"/>
  <c r="M29" i="2"/>
  <c r="Q29" i="2" s="1"/>
  <c r="L29" i="2"/>
  <c r="K29" i="2"/>
  <c r="J29" i="2"/>
  <c r="I29" i="2"/>
  <c r="H29" i="2"/>
  <c r="M28" i="2"/>
  <c r="O28" i="2" s="1"/>
  <c r="L28" i="2"/>
  <c r="N28" i="2" s="1"/>
  <c r="K28" i="2"/>
  <c r="I28" i="2"/>
  <c r="J28" i="2" s="1"/>
  <c r="G28" i="2"/>
  <c r="H28" i="2" s="1"/>
  <c r="F28" i="2"/>
  <c r="N27" i="2"/>
  <c r="P27" i="2" s="1"/>
  <c r="M27" i="2"/>
  <c r="Q27" i="2" s="1"/>
  <c r="L27" i="2"/>
  <c r="K27" i="2"/>
  <c r="F27" i="2"/>
  <c r="G27" i="2" s="1"/>
  <c r="N26" i="2"/>
  <c r="R26" i="2" s="1"/>
  <c r="L26" i="2"/>
  <c r="K26" i="2"/>
  <c r="M26" i="2" s="1"/>
  <c r="G26" i="2"/>
  <c r="I26" i="2" s="1"/>
  <c r="J26" i="2" s="1"/>
  <c r="F26" i="2"/>
  <c r="L25" i="2"/>
  <c r="N25" i="2" s="1"/>
  <c r="K25" i="2"/>
  <c r="M25" i="2" s="1"/>
  <c r="F25" i="2"/>
  <c r="G25" i="2" s="1"/>
  <c r="M24" i="2"/>
  <c r="O24" i="2" s="1"/>
  <c r="L24" i="2"/>
  <c r="N24" i="2" s="1"/>
  <c r="K24" i="2"/>
  <c r="I24" i="2"/>
  <c r="J24" i="2" s="1"/>
  <c r="G24" i="2"/>
  <c r="H24" i="2" s="1"/>
  <c r="F24" i="2"/>
  <c r="N23" i="2"/>
  <c r="P23" i="2" s="1"/>
  <c r="M23" i="2"/>
  <c r="Q23" i="2" s="1"/>
  <c r="L23" i="2"/>
  <c r="K23" i="2"/>
  <c r="F23" i="2"/>
  <c r="G23" i="2" s="1"/>
  <c r="N22" i="2"/>
  <c r="R22" i="2" s="1"/>
  <c r="L22" i="2"/>
  <c r="K22" i="2"/>
  <c r="M22" i="2" s="1"/>
  <c r="G22" i="2"/>
  <c r="I22" i="2" s="1"/>
  <c r="J22" i="2" s="1"/>
  <c r="F22" i="2"/>
  <c r="L21" i="2"/>
  <c r="N21" i="2" s="1"/>
  <c r="K21" i="2"/>
  <c r="M21" i="2" s="1"/>
  <c r="F21" i="2"/>
  <c r="G21" i="2" s="1"/>
  <c r="M20" i="2"/>
  <c r="O20" i="2" s="1"/>
  <c r="L20" i="2"/>
  <c r="N20" i="2" s="1"/>
  <c r="K20" i="2"/>
  <c r="I20" i="2"/>
  <c r="J20" i="2" s="1"/>
  <c r="G20" i="2"/>
  <c r="H20" i="2" s="1"/>
  <c r="F20" i="2"/>
  <c r="N19" i="2"/>
  <c r="P19" i="2" s="1"/>
  <c r="M19" i="2"/>
  <c r="Q19" i="2" s="1"/>
  <c r="L19" i="2"/>
  <c r="K19" i="2"/>
  <c r="F19" i="2"/>
  <c r="G19" i="2" s="1"/>
  <c r="N18" i="2"/>
  <c r="R18" i="2" s="1"/>
  <c r="L18" i="2"/>
  <c r="K18" i="2"/>
  <c r="M18" i="2" s="1"/>
  <c r="G18" i="2"/>
  <c r="I18" i="2" s="1"/>
  <c r="J18" i="2" s="1"/>
  <c r="F18" i="2"/>
  <c r="L17" i="2"/>
  <c r="N17" i="2" s="1"/>
  <c r="K17" i="2"/>
  <c r="M17" i="2" s="1"/>
  <c r="F17" i="2"/>
  <c r="G17" i="2" s="1"/>
  <c r="M16" i="2"/>
  <c r="O16" i="2" s="1"/>
  <c r="L16" i="2"/>
  <c r="N16" i="2" s="1"/>
  <c r="K16" i="2"/>
  <c r="I16" i="2"/>
  <c r="J16" i="2" s="1"/>
  <c r="H16" i="2"/>
  <c r="G16" i="2"/>
  <c r="F16" i="2"/>
  <c r="N15" i="2"/>
  <c r="P15" i="2" s="1"/>
  <c r="M15" i="2"/>
  <c r="O15" i="2" s="1"/>
  <c r="L15" i="2"/>
  <c r="K15" i="2"/>
  <c r="I15" i="2"/>
  <c r="J15" i="2" s="1"/>
  <c r="H15" i="2"/>
  <c r="M14" i="2"/>
  <c r="O14" i="2" s="1"/>
  <c r="L14" i="2"/>
  <c r="N14" i="2" s="1"/>
  <c r="K14" i="2"/>
  <c r="I14" i="2"/>
  <c r="J14" i="2" s="1"/>
  <c r="H14" i="2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3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L4" i="1"/>
  <c r="L5" i="1"/>
  <c r="L6" i="1"/>
  <c r="L7" i="1"/>
  <c r="L8" i="1"/>
  <c r="L9" i="1"/>
  <c r="L10" i="1"/>
  <c r="L12" i="1"/>
  <c r="L13" i="1"/>
  <c r="L14" i="1"/>
  <c r="L15" i="1"/>
  <c r="L16" i="1"/>
  <c r="L17" i="1"/>
  <c r="L18" i="1"/>
  <c r="L3" i="1"/>
  <c r="H17" i="2" l="1"/>
  <c r="I17" i="2"/>
  <c r="J17" i="2" s="1"/>
  <c r="I19" i="2"/>
  <c r="J19" i="2" s="1"/>
  <c r="H19" i="2"/>
  <c r="Q22" i="2"/>
  <c r="O22" i="2"/>
  <c r="R25" i="2"/>
  <c r="P25" i="2"/>
  <c r="O17" i="2"/>
  <c r="Q17" i="2"/>
  <c r="P20" i="2"/>
  <c r="R20" i="2"/>
  <c r="P16" i="2"/>
  <c r="R16" i="2"/>
  <c r="P17" i="2"/>
  <c r="R17" i="2"/>
  <c r="I25" i="2"/>
  <c r="J25" i="2" s="1"/>
  <c r="H25" i="2"/>
  <c r="I27" i="2"/>
  <c r="J27" i="2" s="1"/>
  <c r="H27" i="2"/>
  <c r="O21" i="2"/>
  <c r="Q21" i="2"/>
  <c r="P24" i="2"/>
  <c r="R24" i="2"/>
  <c r="P14" i="2"/>
  <c r="R14" i="2"/>
  <c r="Q18" i="2"/>
  <c r="O18" i="2"/>
  <c r="R21" i="2"/>
  <c r="P21" i="2"/>
  <c r="H21" i="2"/>
  <c r="I21" i="2"/>
  <c r="J21" i="2" s="1"/>
  <c r="I23" i="2"/>
  <c r="J23" i="2" s="1"/>
  <c r="H23" i="2"/>
  <c r="O25" i="2"/>
  <c r="Q25" i="2"/>
  <c r="Q26" i="2"/>
  <c r="O26" i="2"/>
  <c r="P28" i="2"/>
  <c r="R28" i="2"/>
  <c r="Q15" i="2"/>
  <c r="Q16" i="2"/>
  <c r="R19" i="2"/>
  <c r="Q20" i="2"/>
  <c r="R23" i="2"/>
  <c r="R27" i="2"/>
  <c r="Q28" i="2"/>
  <c r="R29" i="2"/>
  <c r="H18" i="2"/>
  <c r="P18" i="2"/>
  <c r="O19" i="2"/>
  <c r="H22" i="2"/>
  <c r="P22" i="2"/>
  <c r="O23" i="2"/>
  <c r="H26" i="2"/>
  <c r="P26" i="2"/>
  <c r="O27" i="2"/>
  <c r="O29" i="2"/>
  <c r="Q14" i="2"/>
  <c r="R15" i="2"/>
  <c r="Q24" i="2"/>
  <c r="G5" i="1"/>
  <c r="K4" i="1"/>
  <c r="J4" i="1"/>
  <c r="J18" i="1"/>
  <c r="K18" i="1" s="1"/>
  <c r="J3" i="1"/>
  <c r="K3" i="1" s="1"/>
  <c r="G6" i="1"/>
  <c r="G7" i="1"/>
  <c r="G8" i="1"/>
  <c r="G9" i="1"/>
  <c r="G10" i="1"/>
  <c r="G11" i="1"/>
  <c r="G12" i="1"/>
  <c r="G13" i="1"/>
  <c r="G14" i="1"/>
  <c r="G15" i="1"/>
  <c r="G16" i="1"/>
  <c r="G17" i="1"/>
  <c r="S17" i="1" l="1"/>
  <c r="R10" i="1"/>
  <c r="R14" i="1"/>
  <c r="R18" i="1"/>
  <c r="S9" i="1"/>
  <c r="C38" i="1"/>
  <c r="C44" i="1" s="1"/>
  <c r="P3" i="1"/>
  <c r="S5" i="1"/>
  <c r="Q18" i="1"/>
  <c r="R16" i="1"/>
  <c r="S6" i="1"/>
  <c r="S13" i="1"/>
  <c r="P18" i="1"/>
  <c r="R9" i="1"/>
  <c r="R5" i="1"/>
  <c r="S16" i="1"/>
  <c r="S12" i="1"/>
  <c r="S8" i="1"/>
  <c r="S4" i="1"/>
  <c r="Q4" i="1"/>
  <c r="R12" i="1"/>
  <c r="R17" i="1"/>
  <c r="R13" i="1"/>
  <c r="R8" i="1"/>
  <c r="P4" i="1"/>
  <c r="R4" i="1"/>
  <c r="S15" i="1"/>
  <c r="S7" i="1"/>
  <c r="S3" i="1"/>
  <c r="Q3" i="1"/>
  <c r="R6" i="1"/>
  <c r="R3" i="1"/>
  <c r="R15" i="1"/>
  <c r="R7" i="1"/>
  <c r="S18" i="1"/>
  <c r="S14" i="1"/>
  <c r="S10" i="1"/>
  <c r="I4" i="1"/>
  <c r="I18" i="1"/>
  <c r="I3" i="1"/>
  <c r="C22" i="1"/>
  <c r="H17" i="1" s="1"/>
  <c r="C21" i="1"/>
  <c r="H11" i="1" s="1"/>
  <c r="R11" i="1" l="1"/>
  <c r="J17" i="1"/>
  <c r="K17" i="1" s="1"/>
  <c r="I17" i="1"/>
  <c r="J11" i="1"/>
  <c r="K11" i="1" s="1"/>
  <c r="Q11" i="1" s="1"/>
  <c r="I11" i="1"/>
  <c r="H7" i="1"/>
  <c r="H14" i="1"/>
  <c r="H9" i="1"/>
  <c r="H15" i="1"/>
  <c r="S11" i="1"/>
  <c r="C39" i="1"/>
  <c r="C45" i="1" s="1"/>
  <c r="H5" i="1"/>
  <c r="I5" i="1" s="1"/>
  <c r="H10" i="1"/>
  <c r="H12" i="1"/>
  <c r="H16" i="1"/>
  <c r="H8" i="1"/>
  <c r="H6" i="1"/>
  <c r="H13" i="1"/>
  <c r="J5" i="1" l="1"/>
  <c r="K5" i="1" s="1"/>
  <c r="I16" i="1"/>
  <c r="J16" i="1"/>
  <c r="K16" i="1" s="1"/>
  <c r="I9" i="1"/>
  <c r="J9" i="1"/>
  <c r="K9" i="1" s="1"/>
  <c r="J13" i="1"/>
  <c r="K13" i="1" s="1"/>
  <c r="I13" i="1"/>
  <c r="I12" i="1"/>
  <c r="J12" i="1"/>
  <c r="K12" i="1" s="1"/>
  <c r="I6" i="1"/>
  <c r="J6" i="1"/>
  <c r="K6" i="1" s="1"/>
  <c r="I10" i="1"/>
  <c r="J10" i="1"/>
  <c r="K10" i="1" s="1"/>
  <c r="I14" i="1"/>
  <c r="J14" i="1"/>
  <c r="K14" i="1" s="1"/>
  <c r="C26" i="1"/>
  <c r="P11" i="1"/>
  <c r="C29" i="1"/>
  <c r="C30" i="1" s="1"/>
  <c r="Q5" i="1"/>
  <c r="P5" i="1"/>
  <c r="J8" i="1"/>
  <c r="K8" i="1" s="1"/>
  <c r="I8" i="1"/>
  <c r="I15" i="1"/>
  <c r="J15" i="1"/>
  <c r="K15" i="1" s="1"/>
  <c r="I7" i="1"/>
  <c r="J7" i="1"/>
  <c r="K7" i="1" s="1"/>
  <c r="Q17" i="1"/>
  <c r="P17" i="1"/>
  <c r="Q7" i="1" l="1"/>
  <c r="P7" i="1"/>
  <c r="Q8" i="1"/>
  <c r="P8" i="1"/>
  <c r="P10" i="1"/>
  <c r="Q10" i="1"/>
  <c r="P12" i="1"/>
  <c r="Q12" i="1"/>
  <c r="C33" i="1" s="1"/>
  <c r="C36" i="1" s="1"/>
  <c r="Q9" i="1"/>
  <c r="P9" i="1"/>
  <c r="C27" i="1"/>
  <c r="Q15" i="1"/>
  <c r="P15" i="1"/>
  <c r="Q14" i="1"/>
  <c r="P14" i="1"/>
  <c r="Q6" i="1"/>
  <c r="P6" i="1"/>
  <c r="Q16" i="1"/>
  <c r="P16" i="1"/>
  <c r="Q13" i="1"/>
  <c r="P13" i="1"/>
  <c r="C32" i="1" l="1"/>
  <c r="C35" i="1" s="1"/>
</calcChain>
</file>

<file path=xl/sharedStrings.xml><?xml version="1.0" encoding="utf-8"?>
<sst xmlns="http://schemas.openxmlformats.org/spreadsheetml/2006/main" count="59" uniqueCount="36">
  <si>
    <t>Static Tap#</t>
  </si>
  <si>
    <t>Flow 1</t>
  </si>
  <si>
    <t>Flow 2</t>
  </si>
  <si>
    <t>Inlet</t>
  </si>
  <si>
    <t>Throat</t>
  </si>
  <si>
    <t>Diameter</t>
  </si>
  <si>
    <t>Distance using Tap 1 as Ref</t>
  </si>
  <si>
    <t>N/A</t>
  </si>
  <si>
    <t>Slope 1</t>
  </si>
  <si>
    <t>Slope 2</t>
  </si>
  <si>
    <t>Cross Sectional Area</t>
  </si>
  <si>
    <t>Cross Sectional Area (m^2)</t>
  </si>
  <si>
    <t>Diameter (m)</t>
  </si>
  <si>
    <t>Atmospheric manometer</t>
  </si>
  <si>
    <t>Pstatic 1</t>
  </si>
  <si>
    <t>Pstatic 2</t>
  </si>
  <si>
    <t>Velocity Flow 2</t>
  </si>
  <si>
    <t>Velocitie Flow 1</t>
  </si>
  <si>
    <t>Qactual Flow 1</t>
  </si>
  <si>
    <t>Qactual Flow 2</t>
  </si>
  <si>
    <t>Qideal Flow 1</t>
  </si>
  <si>
    <t>Cv Flow 1</t>
  </si>
  <si>
    <t>Velocity at Throat Flow 2</t>
  </si>
  <si>
    <t>Velocity at Throat Flow 1</t>
  </si>
  <si>
    <t>Qideal Flow 2</t>
  </si>
  <si>
    <t>Cv Flow 2</t>
  </si>
  <si>
    <t>Pressure Ideal Flow 1</t>
  </si>
  <si>
    <t>Pressure Ideal Flow 2</t>
  </si>
  <si>
    <t>Dynamic Pressure Flow 1</t>
  </si>
  <si>
    <t>Dynamic Pressure Flow 2</t>
  </si>
  <si>
    <t>Static Pressure Flow 1</t>
  </si>
  <si>
    <t>Static Pressure Flow 2</t>
  </si>
  <si>
    <t>Stagnation Pressure Flow 2</t>
  </si>
  <si>
    <t>Stagnation Pressure Flow 1</t>
  </si>
  <si>
    <t>Average Q Flow 1</t>
  </si>
  <si>
    <t>Average Q Flow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</si>
</sst>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Graph 1 : Static Pressure Distribution for Flow 1</c:v>
          </c:tx>
          <c:spPr>
            <a:ln w="28575">
              <a:noFill/>
            </a:ln>
          </c:spPr>
          <c:xVal>
            <c:numRef>
              <c:f>Sheet1!$B$3:$B$18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Sheet1!$L$3:$L$18</c:f>
              <c:numCache>
                <c:formatCode>General</c:formatCode>
                <c:ptCount val="16"/>
                <c:pt idx="0">
                  <c:v>102237.33</c:v>
                </c:pt>
                <c:pt idx="1">
                  <c:v>102237.33</c:v>
                </c:pt>
                <c:pt idx="2">
                  <c:v>102256.95</c:v>
                </c:pt>
                <c:pt idx="3">
                  <c:v>102492.39</c:v>
                </c:pt>
                <c:pt idx="4">
                  <c:v>102708.21</c:v>
                </c:pt>
                <c:pt idx="5">
                  <c:v>103159.47</c:v>
                </c:pt>
                <c:pt idx="6">
                  <c:v>103669.59</c:v>
                </c:pt>
                <c:pt idx="7">
                  <c:v>104474.01</c:v>
                </c:pt>
                <c:pt idx="8">
                  <c:v>106161.33</c:v>
                </c:pt>
                <c:pt idx="9">
                  <c:v>105670.83</c:v>
                </c:pt>
                <c:pt idx="10">
                  <c:v>104415.15</c:v>
                </c:pt>
                <c:pt idx="11">
                  <c:v>103963.89</c:v>
                </c:pt>
                <c:pt idx="12">
                  <c:v>103414.53</c:v>
                </c:pt>
                <c:pt idx="13">
                  <c:v>103120.23</c:v>
                </c:pt>
                <c:pt idx="14">
                  <c:v>102904.41</c:v>
                </c:pt>
                <c:pt idx="15">
                  <c:v>102727.83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3812864"/>
        <c:axId val="1883823200"/>
      </c:scatterChart>
      <c:valAx>
        <c:axId val="188381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Tap Number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883823200"/>
        <c:crosses val="autoZero"/>
        <c:crossBetween val="midCat"/>
        <c:majorUnit val="1"/>
      </c:valAx>
      <c:valAx>
        <c:axId val="18838232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Static</a:t>
                </a:r>
                <a:r>
                  <a:rPr lang="en-US" baseline="0"/>
                  <a:t> Pressure (Pa)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883812864"/>
        <c:crosses val="autoZero"/>
        <c:crossBetween val="midCat"/>
      </c:valAx>
    </c:plotArea>
    <c:plotVisOnly val="1"/>
    <c:dispBlanksAs val="gap"/>
    <c:showDLblsOverMax val="0"/>
  </c:chart>
  <c:spPr>
    <a:ln>
      <a:gradFill flip="none" rotWithShape="1">
        <a:gsLst>
          <a:gs pos="0">
            <a:schemeClr val="accent1">
              <a:tint val="66000"/>
              <a:satMod val="160000"/>
            </a:schemeClr>
          </a:gs>
          <a:gs pos="100000">
            <a:schemeClr val="accent1">
              <a:tint val="23500"/>
              <a:satMod val="160000"/>
            </a:schemeClr>
          </a:gs>
        </a:gsLst>
        <a:lin ang="16200000" scaled="1"/>
        <a:tileRect/>
      </a:gra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Graph 2 : Static Pressure Distribustion for Flow 2</c:v>
          </c:tx>
          <c:spPr>
            <a:ln w="28575">
              <a:noFill/>
            </a:ln>
          </c:spPr>
          <c:xVal>
            <c:numRef>
              <c:f>Sheet1!$B$3:$B$18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Sheet1!$M$3:$M$18</c:f>
              <c:numCache>
                <c:formatCode>General</c:formatCode>
                <c:ptCount val="16"/>
                <c:pt idx="0">
                  <c:v>102060.75</c:v>
                </c:pt>
                <c:pt idx="1">
                  <c:v>102060.75</c:v>
                </c:pt>
                <c:pt idx="2">
                  <c:v>102080.37</c:v>
                </c:pt>
                <c:pt idx="3">
                  <c:v>102256.95</c:v>
                </c:pt>
                <c:pt idx="4">
                  <c:v>102413.91</c:v>
                </c:pt>
                <c:pt idx="5">
                  <c:v>102767.07</c:v>
                </c:pt>
                <c:pt idx="6">
                  <c:v>103159.47</c:v>
                </c:pt>
                <c:pt idx="7">
                  <c:v>103767.69</c:v>
                </c:pt>
                <c:pt idx="8">
                  <c:v>105062.61</c:v>
                </c:pt>
                <c:pt idx="9">
                  <c:v>104827.17</c:v>
                </c:pt>
                <c:pt idx="10">
                  <c:v>103748.07</c:v>
                </c:pt>
                <c:pt idx="11">
                  <c:v>103414.53</c:v>
                </c:pt>
                <c:pt idx="12">
                  <c:v>102963.27</c:v>
                </c:pt>
                <c:pt idx="13">
                  <c:v>102747.45</c:v>
                </c:pt>
                <c:pt idx="14">
                  <c:v>102590.49</c:v>
                </c:pt>
                <c:pt idx="15">
                  <c:v>102433.53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3820480"/>
        <c:axId val="1883827008"/>
      </c:scatterChart>
      <c:valAx>
        <c:axId val="1883820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Tap Number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883827008"/>
        <c:crosses val="autoZero"/>
        <c:crossBetween val="midCat"/>
        <c:majorUnit val="1"/>
      </c:valAx>
      <c:valAx>
        <c:axId val="18838270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Static Pressure (Pa)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88382048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Static Pressure Comparison Flow 1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Sheet3!$B$1:$B$16</c:f>
              <c:numCache>
                <c:formatCode>General</c:formatCode>
                <c:ptCount val="16"/>
                <c:pt idx="0">
                  <c:v>102237.3</c:v>
                </c:pt>
                <c:pt idx="1">
                  <c:v>102237.3</c:v>
                </c:pt>
                <c:pt idx="2">
                  <c:v>102257</c:v>
                </c:pt>
                <c:pt idx="3">
                  <c:v>102492.4</c:v>
                </c:pt>
                <c:pt idx="4">
                  <c:v>102708.2</c:v>
                </c:pt>
                <c:pt idx="5">
                  <c:v>103159.5</c:v>
                </c:pt>
                <c:pt idx="6">
                  <c:v>103669.6</c:v>
                </c:pt>
                <c:pt idx="7">
                  <c:v>104474</c:v>
                </c:pt>
                <c:pt idx="8">
                  <c:v>106161.3</c:v>
                </c:pt>
                <c:pt idx="9">
                  <c:v>105670.8</c:v>
                </c:pt>
                <c:pt idx="10">
                  <c:v>104415.2</c:v>
                </c:pt>
                <c:pt idx="11">
                  <c:v>103963.9</c:v>
                </c:pt>
                <c:pt idx="12">
                  <c:v>103414.5</c:v>
                </c:pt>
                <c:pt idx="13">
                  <c:v>103120.2</c:v>
                </c:pt>
                <c:pt idx="14">
                  <c:v>102904.4</c:v>
                </c:pt>
                <c:pt idx="15">
                  <c:v>102727.8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Sheet3!$C$1:$C$16</c:f>
              <c:numCache>
                <c:formatCode>General</c:formatCode>
                <c:ptCount val="16"/>
                <c:pt idx="0">
                  <c:v>102237.33</c:v>
                </c:pt>
                <c:pt idx="1">
                  <c:v>102237.33</c:v>
                </c:pt>
                <c:pt idx="2">
                  <c:v>102257.05439999999</c:v>
                </c:pt>
                <c:pt idx="3">
                  <c:v>102508.0897</c:v>
                </c:pt>
                <c:pt idx="4">
                  <c:v>102757.02439999999</c:v>
                </c:pt>
                <c:pt idx="5">
                  <c:v>103318.88370000001</c:v>
                </c:pt>
                <c:pt idx="6">
                  <c:v>104001.41869999999</c:v>
                </c:pt>
                <c:pt idx="7">
                  <c:v>105145.4023</c:v>
                </c:pt>
                <c:pt idx="8">
                  <c:v>107708.8811</c:v>
                </c:pt>
                <c:pt idx="9">
                  <c:v>106946.6133</c:v>
                </c:pt>
                <c:pt idx="10">
                  <c:v>105059.5135</c:v>
                </c:pt>
                <c:pt idx="11">
                  <c:v>104411.861</c:v>
                </c:pt>
                <c:pt idx="12">
                  <c:v>103654.98390000001</c:v>
                </c:pt>
                <c:pt idx="13">
                  <c:v>103268.2258</c:v>
                </c:pt>
                <c:pt idx="14">
                  <c:v>102995.3642</c:v>
                </c:pt>
                <c:pt idx="15">
                  <c:v>102780.3863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5917792"/>
        <c:axId val="2065918336"/>
      </c:lineChart>
      <c:catAx>
        <c:axId val="20659177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Tap</a:t>
                </a:r>
                <a:r>
                  <a:rPr lang="en-CA" baseline="0"/>
                  <a:t> Number</a:t>
                </a:r>
                <a:endParaRPr lang="en-CA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5918336"/>
        <c:crosses val="autoZero"/>
        <c:auto val="1"/>
        <c:lblAlgn val="ctr"/>
        <c:lblOffset val="100"/>
        <c:noMultiLvlLbl val="0"/>
      </c:catAx>
      <c:valAx>
        <c:axId val="206591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Pressure (Pa)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5917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Static Pressure Comparison Flow 2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Sheet3!$B$19:$B$34</c:f>
              <c:numCache>
                <c:formatCode>General</c:formatCode>
                <c:ptCount val="16"/>
                <c:pt idx="0">
                  <c:v>102060.75</c:v>
                </c:pt>
                <c:pt idx="1">
                  <c:v>102060.75</c:v>
                </c:pt>
                <c:pt idx="2">
                  <c:v>102080.37</c:v>
                </c:pt>
                <c:pt idx="3">
                  <c:v>102256.95</c:v>
                </c:pt>
                <c:pt idx="4">
                  <c:v>102413.91</c:v>
                </c:pt>
                <c:pt idx="5">
                  <c:v>102767.07</c:v>
                </c:pt>
                <c:pt idx="6">
                  <c:v>103159.47</c:v>
                </c:pt>
                <c:pt idx="7">
                  <c:v>103767.69</c:v>
                </c:pt>
                <c:pt idx="8">
                  <c:v>105062.61</c:v>
                </c:pt>
                <c:pt idx="9">
                  <c:v>104827.17</c:v>
                </c:pt>
                <c:pt idx="10">
                  <c:v>103748.07</c:v>
                </c:pt>
                <c:pt idx="11">
                  <c:v>103414.53</c:v>
                </c:pt>
                <c:pt idx="12">
                  <c:v>102963.27</c:v>
                </c:pt>
                <c:pt idx="13">
                  <c:v>102747.45</c:v>
                </c:pt>
                <c:pt idx="14">
                  <c:v>102590.49</c:v>
                </c:pt>
                <c:pt idx="15">
                  <c:v>102433.53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Sheet3!$C$19:$C$34</c:f>
              <c:numCache>
                <c:formatCode>General</c:formatCode>
                <c:ptCount val="16"/>
                <c:pt idx="0">
                  <c:v>102070.2369</c:v>
                </c:pt>
                <c:pt idx="1">
                  <c:v>102070.2369</c:v>
                </c:pt>
                <c:pt idx="2">
                  <c:v>102087.77280000001</c:v>
                </c:pt>
                <c:pt idx="3">
                  <c:v>102257.05439999999</c:v>
                </c:pt>
                <c:pt idx="4">
                  <c:v>102421.71550000001</c:v>
                </c:pt>
                <c:pt idx="5">
                  <c:v>102827.4397</c:v>
                </c:pt>
                <c:pt idx="6">
                  <c:v>103318.88370000001</c:v>
                </c:pt>
                <c:pt idx="7">
                  <c:v>104137.0514</c:v>
                </c:pt>
                <c:pt idx="8">
                  <c:v>106019.34880000001</c:v>
                </c:pt>
                <c:pt idx="9">
                  <c:v>105666.682</c:v>
                </c:pt>
                <c:pt idx="10">
                  <c:v>104109.82610000001</c:v>
                </c:pt>
                <c:pt idx="11">
                  <c:v>103654.98390000001</c:v>
                </c:pt>
                <c:pt idx="12">
                  <c:v>103068.7582</c:v>
                </c:pt>
                <c:pt idx="13">
                  <c:v>102803.8588</c:v>
                </c:pt>
                <c:pt idx="14">
                  <c:v>102619.31540000001</c:v>
                </c:pt>
                <c:pt idx="15">
                  <c:v>102443.0768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9949184"/>
        <c:axId val="1889946464"/>
      </c:lineChart>
      <c:catAx>
        <c:axId val="1889949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Tube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9946464"/>
        <c:crosses val="autoZero"/>
        <c:auto val="1"/>
        <c:lblAlgn val="ctr"/>
        <c:lblOffset val="100"/>
        <c:noMultiLvlLbl val="0"/>
      </c:catAx>
      <c:valAx>
        <c:axId val="188994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Pressure (Pa)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9949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21</xdr:row>
      <xdr:rowOff>4762</xdr:rowOff>
    </xdr:from>
    <xdr:to>
      <xdr:col>8</xdr:col>
      <xdr:colOff>685800</xdr:colOff>
      <xdr:row>35</xdr:row>
      <xdr:rowOff>80962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142875</xdr:colOff>
      <xdr:row>20</xdr:row>
      <xdr:rowOff>185737</xdr:rowOff>
    </xdr:from>
    <xdr:to>
      <xdr:col>13</xdr:col>
      <xdr:colOff>1009650</xdr:colOff>
      <xdr:row>35</xdr:row>
      <xdr:rowOff>71437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0</xdr:row>
      <xdr:rowOff>52387</xdr:rowOff>
    </xdr:from>
    <xdr:to>
      <xdr:col>11</xdr:col>
      <xdr:colOff>266700</xdr:colOff>
      <xdr:row>14</xdr:row>
      <xdr:rowOff>128587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9525</xdr:colOff>
      <xdr:row>18</xdr:row>
      <xdr:rowOff>23812</xdr:rowOff>
    </xdr:from>
    <xdr:to>
      <xdr:col>11</xdr:col>
      <xdr:colOff>314325</xdr:colOff>
      <xdr:row>32</xdr:row>
      <xdr:rowOff>100012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45"/>
  <sheetViews>
    <sheetView tabSelected="1" topLeftCell="J14" workbookViewId="0">
      <selection activeCell="C44" sqref="C44"/>
    </sheetView>
  </sheetViews>
  <sheetFormatPr defaultRowHeight="15" x14ac:dyDescent="0.25"/>
  <cols>
    <col min="2" max="2" width="25.140625" bestFit="1" customWidth="1"/>
    <col min="7" max="7" width="24.85546875" customWidth="1"/>
    <col min="8" max="8" width="25.140625" bestFit="1" customWidth="1"/>
    <col min="9" max="9" width="18.85546875" customWidth="1"/>
    <col min="10" max="10" width="12.85546875" bestFit="1" customWidth="1"/>
    <col min="11" max="11" width="24.28515625" customWidth="1"/>
    <col min="12" max="12" width="10.7109375" customWidth="1"/>
    <col min="13" max="13" width="11" customWidth="1"/>
    <col min="14" max="14" width="15.28515625" bestFit="1" customWidth="1"/>
    <col min="15" max="15" width="14.5703125" bestFit="1" customWidth="1"/>
    <col min="16" max="17" width="14" bestFit="1" customWidth="1"/>
    <col min="18" max="19" width="20" bestFit="1" customWidth="1"/>
  </cols>
  <sheetData>
    <row r="2" spans="2:19" s="3" customFormat="1" ht="30" customHeight="1" x14ac:dyDescent="0.2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6</v>
      </c>
      <c r="H2" s="3" t="s">
        <v>5</v>
      </c>
      <c r="I2" s="3" t="s">
        <v>10</v>
      </c>
      <c r="J2" s="3" t="s">
        <v>12</v>
      </c>
      <c r="K2" s="3" t="s">
        <v>11</v>
      </c>
      <c r="L2" s="3" t="s">
        <v>14</v>
      </c>
      <c r="M2" s="3" t="s">
        <v>15</v>
      </c>
      <c r="N2" s="3" t="s">
        <v>17</v>
      </c>
      <c r="O2" s="3" t="s">
        <v>16</v>
      </c>
      <c r="P2" s="3" t="s">
        <v>18</v>
      </c>
      <c r="Q2" s="3" t="s">
        <v>19</v>
      </c>
      <c r="R2" s="3" t="s">
        <v>26</v>
      </c>
      <c r="S2" s="3" t="s">
        <v>27</v>
      </c>
    </row>
    <row r="3" spans="2:19" x14ac:dyDescent="0.25">
      <c r="B3" s="1">
        <v>1</v>
      </c>
      <c r="C3" s="1">
        <v>180</v>
      </c>
      <c r="D3" s="1">
        <v>162</v>
      </c>
      <c r="E3" s="1">
        <v>0</v>
      </c>
      <c r="F3" s="1">
        <v>133</v>
      </c>
      <c r="G3" s="1" t="s">
        <v>7</v>
      </c>
      <c r="H3" s="1">
        <v>26.542999999999999</v>
      </c>
      <c r="I3" s="1">
        <f>(3.14/4)*POWER(H3,2)</f>
        <v>553.05671646500002</v>
      </c>
      <c r="J3" s="1">
        <f>H3/1000</f>
        <v>2.6543000000000001E-2</v>
      </c>
      <c r="K3" s="1">
        <f>(3.14/4)*POWER(J3,2)</f>
        <v>5.5305671646500008E-4</v>
      </c>
      <c r="L3" s="1">
        <f>101325+(1000*9.81*((C3-87)/1000))</f>
        <v>102237.33</v>
      </c>
      <c r="M3" s="1">
        <f>101325+(1000*9.81*((D3-87)/1000))</f>
        <v>102060.75</v>
      </c>
      <c r="N3" s="1">
        <f>((-2*(101325-L3))/1.2)^(1/2)</f>
        <v>38.99423034244942</v>
      </c>
      <c r="O3" s="1">
        <f>((-2*(101325-M3))/1.2)^(1/2)</f>
        <v>35.017852589786258</v>
      </c>
      <c r="P3" s="1">
        <f>N3*$K3</f>
        <v>2.1566020994274952E-2</v>
      </c>
      <c r="Q3" s="1">
        <f>O3*$K3</f>
        <v>1.9366858570962587E-2</v>
      </c>
      <c r="R3" s="1">
        <f>((1/2)*1.2*(($N$3-N3)^2))+L3</f>
        <v>102237.33</v>
      </c>
      <c r="S3" s="1">
        <f>((1/2)*1.2*(($N$3-O3)^2))+M3</f>
        <v>102070.23694801913</v>
      </c>
    </row>
    <row r="4" spans="2:19" x14ac:dyDescent="0.25">
      <c r="B4" s="1">
        <v>2</v>
      </c>
      <c r="C4" s="1">
        <v>180</v>
      </c>
      <c r="D4" s="1">
        <v>162</v>
      </c>
      <c r="E4" s="1">
        <v>25</v>
      </c>
      <c r="F4" s="1">
        <v>108</v>
      </c>
      <c r="G4" s="1" t="s">
        <v>7</v>
      </c>
      <c r="H4" s="1">
        <v>26.542999999999999</v>
      </c>
      <c r="I4" s="1">
        <f t="shared" ref="I4:I18" si="0">(3.14/4)*POWER(H4,2)</f>
        <v>553.05671646500002</v>
      </c>
      <c r="J4" s="1">
        <f t="shared" ref="J4:J18" si="1">H4/1000</f>
        <v>2.6543000000000001E-2</v>
      </c>
      <c r="K4" s="1">
        <f t="shared" ref="K4:K18" si="2">(3.14/4)*POWER(J4,2)</f>
        <v>5.5305671646500008E-4</v>
      </c>
      <c r="L4" s="1">
        <f t="shared" ref="L4:L18" si="3">101325+(1000*9.81*((C4-87)/1000))</f>
        <v>102237.33</v>
      </c>
      <c r="M4" s="1">
        <f t="shared" ref="M4:M18" si="4">101325+(1000*9.81*((D4-87)/1000))</f>
        <v>102060.75</v>
      </c>
      <c r="N4" s="1">
        <f t="shared" ref="N4:N18" si="5">((-2*(101325-L4))/1.2)^(1/2)</f>
        <v>38.99423034244942</v>
      </c>
      <c r="O4" s="1">
        <f t="shared" ref="O4:O18" si="6">((-2*(101325-M4))/1.2)^(1/2)</f>
        <v>35.017852589786258</v>
      </c>
      <c r="P4" s="1">
        <f t="shared" ref="P4:Q18" si="7">N4*$K4</f>
        <v>2.1566020994274952E-2</v>
      </c>
      <c r="Q4" s="1">
        <f t="shared" si="7"/>
        <v>1.9366858570962587E-2</v>
      </c>
      <c r="R4" s="1">
        <f t="shared" ref="R4:S18" si="8">((1/2)*1.2*(($N$3-N4)^2))+L4</f>
        <v>102237.33</v>
      </c>
      <c r="S4" s="1">
        <f t="shared" si="8"/>
        <v>102070.23694801913</v>
      </c>
    </row>
    <row r="5" spans="2:19" x14ac:dyDescent="0.25">
      <c r="B5" s="1">
        <v>3</v>
      </c>
      <c r="C5" s="1">
        <v>182</v>
      </c>
      <c r="D5" s="1">
        <v>164</v>
      </c>
      <c r="E5" s="1">
        <v>50</v>
      </c>
      <c r="F5" s="1">
        <v>83</v>
      </c>
      <c r="G5" s="1">
        <f>SUM(E5-50)</f>
        <v>0</v>
      </c>
      <c r="H5" s="1">
        <f>((-C21*(90-G5))*2)+17.9578</f>
        <v>26.542999999999999</v>
      </c>
      <c r="I5" s="1">
        <f t="shared" si="0"/>
        <v>553.05671646500002</v>
      </c>
      <c r="J5" s="1">
        <f t="shared" si="1"/>
        <v>2.6543000000000001E-2</v>
      </c>
      <c r="K5" s="1">
        <f t="shared" si="2"/>
        <v>5.5305671646500008E-4</v>
      </c>
      <c r="L5" s="1">
        <f t="shared" si="3"/>
        <v>102256.95</v>
      </c>
      <c r="M5" s="1">
        <f t="shared" si="4"/>
        <v>102080.37</v>
      </c>
      <c r="N5" s="1">
        <f t="shared" si="5"/>
        <v>39.411292797877046</v>
      </c>
      <c r="O5" s="1">
        <f t="shared" si="6"/>
        <v>35.481685416563742</v>
      </c>
      <c r="P5" s="1">
        <f t="shared" si="7"/>
        <v>2.1796680186434585E-2</v>
      </c>
      <c r="Q5" s="1">
        <f t="shared" si="7"/>
        <v>1.9623384431128821E-2</v>
      </c>
      <c r="R5" s="1">
        <f t="shared" si="8"/>
        <v>102257.05436465504</v>
      </c>
      <c r="S5" s="1">
        <f t="shared" si="8"/>
        <v>102087.77278311382</v>
      </c>
    </row>
    <row r="6" spans="2:19" x14ac:dyDescent="0.25">
      <c r="B6" s="1">
        <v>4</v>
      </c>
      <c r="C6" s="1">
        <v>206</v>
      </c>
      <c r="D6" s="1">
        <v>182</v>
      </c>
      <c r="E6" s="1">
        <v>66</v>
      </c>
      <c r="F6" s="1">
        <v>67</v>
      </c>
      <c r="G6" s="1">
        <f t="shared" ref="G6:G17" si="9">SUM(E6-50)</f>
        <v>16</v>
      </c>
      <c r="H6" s="1">
        <f>((-C21*(90-G6))*2)+17.9578</f>
        <v>25.01674222222222</v>
      </c>
      <c r="I6" s="1">
        <f t="shared" si="0"/>
        <v>491.28235225929603</v>
      </c>
      <c r="J6" s="1">
        <f t="shared" si="1"/>
        <v>2.5016742222222221E-2</v>
      </c>
      <c r="K6" s="1">
        <f t="shared" si="2"/>
        <v>4.9128235225929606E-4</v>
      </c>
      <c r="L6" s="1">
        <f t="shared" si="3"/>
        <v>102492.39</v>
      </c>
      <c r="M6" s="1">
        <f t="shared" si="4"/>
        <v>102256.95</v>
      </c>
      <c r="N6" s="1">
        <f t="shared" si="5"/>
        <v>44.109522781367737</v>
      </c>
      <c r="O6" s="1">
        <f t="shared" si="6"/>
        <v>39.411292797877046</v>
      </c>
      <c r="P6" s="1">
        <f t="shared" si="7"/>
        <v>2.1670230109065349E-2</v>
      </c>
      <c r="Q6" s="1">
        <f t="shared" si="7"/>
        <v>1.9362072631320889E-2</v>
      </c>
      <c r="R6" s="1">
        <f t="shared" si="8"/>
        <v>102508.08973004139</v>
      </c>
      <c r="S6" s="1">
        <f t="shared" si="8"/>
        <v>102257.05436465504</v>
      </c>
    </row>
    <row r="7" spans="2:19" x14ac:dyDescent="0.25">
      <c r="B7" s="1">
        <v>5</v>
      </c>
      <c r="C7" s="1">
        <v>228</v>
      </c>
      <c r="D7" s="1">
        <v>198</v>
      </c>
      <c r="E7" s="1">
        <v>75</v>
      </c>
      <c r="F7" s="1">
        <v>58</v>
      </c>
      <c r="G7" s="1">
        <f t="shared" si="9"/>
        <v>25</v>
      </c>
      <c r="H7" s="1">
        <f>((-C21*(90-G7))*2)+17.9578</f>
        <v>24.158222222222221</v>
      </c>
      <c r="I7" s="1">
        <f t="shared" si="0"/>
        <v>458.14146523654318</v>
      </c>
      <c r="J7" s="1">
        <f t="shared" si="1"/>
        <v>2.415822222222222E-2</v>
      </c>
      <c r="K7" s="1">
        <f t="shared" si="2"/>
        <v>4.581414652365431E-4</v>
      </c>
      <c r="L7" s="1">
        <f t="shared" si="3"/>
        <v>102708.21</v>
      </c>
      <c r="M7" s="1">
        <f t="shared" si="4"/>
        <v>102413.91</v>
      </c>
      <c r="N7" s="1">
        <f t="shared" si="5"/>
        <v>48.014060440666867</v>
      </c>
      <c r="O7" s="1">
        <f t="shared" si="6"/>
        <v>42.601056324931733</v>
      </c>
      <c r="P7" s="1">
        <f t="shared" si="7"/>
        <v>2.1997232002243058E-2</v>
      </c>
      <c r="Q7" s="1">
        <f t="shared" si="7"/>
        <v>1.9517310365328725E-2</v>
      </c>
      <c r="R7" s="1">
        <f t="shared" si="8"/>
        <v>102757.02440100044</v>
      </c>
      <c r="S7" s="1">
        <f t="shared" si="8"/>
        <v>102421.71551620075</v>
      </c>
    </row>
    <row r="8" spans="2:19" x14ac:dyDescent="0.25">
      <c r="B8" s="1">
        <v>6</v>
      </c>
      <c r="C8" s="1">
        <v>274</v>
      </c>
      <c r="D8" s="1">
        <v>234</v>
      </c>
      <c r="E8" s="1">
        <v>89</v>
      </c>
      <c r="F8" s="1">
        <v>44</v>
      </c>
      <c r="G8" s="1">
        <f t="shared" si="9"/>
        <v>39</v>
      </c>
      <c r="H8" s="1">
        <f>((-C21*(90-G8))*2)+17.9578</f>
        <v>22.822746666666667</v>
      </c>
      <c r="I8" s="1">
        <f t="shared" si="0"/>
        <v>408.88904584751299</v>
      </c>
      <c r="J8" s="1">
        <f t="shared" si="1"/>
        <v>2.2822746666666668E-2</v>
      </c>
      <c r="K8" s="1">
        <f t="shared" si="2"/>
        <v>4.0888904584751297E-4</v>
      </c>
      <c r="L8" s="1">
        <f t="shared" si="3"/>
        <v>103159.47</v>
      </c>
      <c r="M8" s="1">
        <f t="shared" si="4"/>
        <v>102767.07</v>
      </c>
      <c r="N8" s="1">
        <f t="shared" si="5"/>
        <v>55.294213078766226</v>
      </c>
      <c r="O8" s="1">
        <f t="shared" si="6"/>
        <v>49.02499362570088</v>
      </c>
      <c r="P8" s="1">
        <f t="shared" si="7"/>
        <v>2.2609198026665795E-2</v>
      </c>
      <c r="Q8" s="1">
        <f t="shared" si="7"/>
        <v>2.0045782866293237E-2</v>
      </c>
      <c r="R8" s="1">
        <f t="shared" si="8"/>
        <v>103318.88366232254</v>
      </c>
      <c r="S8" s="1">
        <f t="shared" si="8"/>
        <v>102827.43972722678</v>
      </c>
    </row>
    <row r="9" spans="2:19" x14ac:dyDescent="0.25">
      <c r="B9" s="1">
        <v>7</v>
      </c>
      <c r="C9" s="1">
        <v>326</v>
      </c>
      <c r="D9" s="1">
        <v>274</v>
      </c>
      <c r="E9" s="1">
        <v>100</v>
      </c>
      <c r="F9" s="1">
        <v>33</v>
      </c>
      <c r="G9" s="1">
        <f t="shared" si="9"/>
        <v>50</v>
      </c>
      <c r="H9" s="1">
        <f>((-C21*(90-G9))*2)+17.9578</f>
        <v>21.773444444444443</v>
      </c>
      <c r="I9" s="1">
        <f t="shared" si="0"/>
        <v>372.1550631356173</v>
      </c>
      <c r="J9" s="1">
        <f t="shared" si="1"/>
        <v>2.1773444444444442E-2</v>
      </c>
      <c r="K9" s="1">
        <f t="shared" si="2"/>
        <v>3.7215506313561722E-4</v>
      </c>
      <c r="L9" s="1">
        <f t="shared" si="3"/>
        <v>103669.59</v>
      </c>
      <c r="M9" s="1">
        <f t="shared" si="4"/>
        <v>103159.47</v>
      </c>
      <c r="N9" s="1">
        <f t="shared" si="5"/>
        <v>62.511198996659743</v>
      </c>
      <c r="O9" s="1">
        <f t="shared" si="6"/>
        <v>55.294213078766226</v>
      </c>
      <c r="P9" s="1">
        <f t="shared" si="7"/>
        <v>2.3263859209285039E-2</v>
      </c>
      <c r="Q9" s="1">
        <f t="shared" si="7"/>
        <v>2.0578021359362517E-2</v>
      </c>
      <c r="R9" s="1">
        <f t="shared" si="8"/>
        <v>104001.41868880986</v>
      </c>
      <c r="S9" s="1">
        <f t="shared" si="8"/>
        <v>103318.88366232254</v>
      </c>
    </row>
    <row r="10" spans="2:19" x14ac:dyDescent="0.25">
      <c r="B10" s="1">
        <v>8</v>
      </c>
      <c r="C10" s="1">
        <v>408</v>
      </c>
      <c r="D10" s="1">
        <v>336</v>
      </c>
      <c r="E10" s="1">
        <v>113</v>
      </c>
      <c r="F10" s="1">
        <v>20</v>
      </c>
      <c r="G10" s="1">
        <f>SUM(E10-50)</f>
        <v>63</v>
      </c>
      <c r="H10" s="1">
        <f>((-C21*(90-G10))*2)+17.9578</f>
        <v>20.533359999999998</v>
      </c>
      <c r="I10" s="1">
        <f t="shared" si="0"/>
        <v>330.97081521833593</v>
      </c>
      <c r="J10" s="1">
        <f t="shared" si="1"/>
        <v>2.0533359999999997E-2</v>
      </c>
      <c r="K10" s="1">
        <f t="shared" si="2"/>
        <v>3.3097081521833591E-4</v>
      </c>
      <c r="L10" s="1">
        <f t="shared" si="3"/>
        <v>104474.01</v>
      </c>
      <c r="M10" s="1">
        <f t="shared" si="4"/>
        <v>103767.69</v>
      </c>
      <c r="N10" s="1">
        <f t="shared" si="5"/>
        <v>72.44549675445667</v>
      </c>
      <c r="O10" s="1">
        <f t="shared" si="6"/>
        <v>63.805564020702803</v>
      </c>
      <c r="P10" s="1">
        <f t="shared" si="7"/>
        <v>2.3977345119719832E-2</v>
      </c>
      <c r="Q10" s="1">
        <f t="shared" si="7"/>
        <v>2.1117779539397731E-2</v>
      </c>
      <c r="R10" s="1">
        <f t="shared" si="8"/>
        <v>105145.40233474024</v>
      </c>
      <c r="S10" s="1">
        <f t="shared" si="8"/>
        <v>104137.05136733619</v>
      </c>
    </row>
    <row r="11" spans="2:19" x14ac:dyDescent="0.25">
      <c r="B11" s="1">
        <v>9</v>
      </c>
      <c r="C11" s="1">
        <v>580</v>
      </c>
      <c r="D11" s="1">
        <v>468</v>
      </c>
      <c r="E11" s="1">
        <v>133</v>
      </c>
      <c r="F11" s="1">
        <v>0</v>
      </c>
      <c r="G11" s="1">
        <f t="shared" si="9"/>
        <v>83</v>
      </c>
      <c r="H11" s="1">
        <f>((-C21*(90-G11))*2)+17.9578</f>
        <v>18.625537777777776</v>
      </c>
      <c r="I11" s="1">
        <f t="shared" si="0"/>
        <v>272.32486614647024</v>
      </c>
      <c r="J11" s="1">
        <f t="shared" si="1"/>
        <v>1.8625537777777777E-2</v>
      </c>
      <c r="K11" s="1">
        <f t="shared" si="2"/>
        <v>2.7232486614647036E-4</v>
      </c>
      <c r="L11" s="1">
        <f>101325+(1000*9.81*((C11-87)/1000))</f>
        <v>106161.33</v>
      </c>
      <c r="M11" s="1">
        <f t="shared" si="4"/>
        <v>105062.61</v>
      </c>
      <c r="N11" s="1">
        <f t="shared" si="5"/>
        <v>89.78056582579552</v>
      </c>
      <c r="O11" s="1">
        <f t="shared" si="6"/>
        <v>78.926231380954718</v>
      </c>
      <c r="P11" s="1">
        <f t="shared" si="7"/>
        <v>2.4449480571064136E-2</v>
      </c>
      <c r="Q11" s="1">
        <f t="shared" si="7"/>
        <v>2.1493575396263842E-2</v>
      </c>
      <c r="R11" s="1">
        <f t="shared" si="8"/>
        <v>107708.88112309619</v>
      </c>
      <c r="S11" s="1">
        <f t="shared" si="8"/>
        <v>106019.34882416352</v>
      </c>
    </row>
    <row r="12" spans="2:19" x14ac:dyDescent="0.25">
      <c r="B12" s="1">
        <v>10</v>
      </c>
      <c r="C12" s="1">
        <v>530</v>
      </c>
      <c r="D12" s="1">
        <v>444</v>
      </c>
      <c r="E12" s="1">
        <v>155</v>
      </c>
      <c r="F12" s="1">
        <v>20</v>
      </c>
      <c r="G12" s="1">
        <f t="shared" si="9"/>
        <v>105</v>
      </c>
      <c r="H12" s="1">
        <f>(-(C22*(190-G12)-4.2926)*2)+17.9578</f>
        <v>19.24558</v>
      </c>
      <c r="I12" s="1">
        <f t="shared" si="0"/>
        <v>290.75799438607402</v>
      </c>
      <c r="J12" s="1">
        <f t="shared" si="1"/>
        <v>1.9245580000000002E-2</v>
      </c>
      <c r="K12" s="1">
        <f t="shared" si="2"/>
        <v>2.9075799438607407E-4</v>
      </c>
      <c r="L12" s="1">
        <f t="shared" si="3"/>
        <v>105670.83</v>
      </c>
      <c r="M12" s="1">
        <f t="shared" si="4"/>
        <v>104827.17</v>
      </c>
      <c r="N12" s="1">
        <f t="shared" si="5"/>
        <v>85.1061102389247</v>
      </c>
      <c r="O12" s="1">
        <f t="shared" si="6"/>
        <v>76.399934554945773</v>
      </c>
      <c r="P12" s="1">
        <f t="shared" si="7"/>
        <v>2.4745281923069868E-2</v>
      </c>
      <c r="Q12" s="1">
        <f t="shared" si="7"/>
        <v>2.2213891742423348E-2</v>
      </c>
      <c r="R12" s="1">
        <f t="shared" si="8"/>
        <v>106946.61328055218</v>
      </c>
      <c r="S12" s="1">
        <f t="shared" si="8"/>
        <v>105666.68202457966</v>
      </c>
    </row>
    <row r="13" spans="2:19" x14ac:dyDescent="0.25">
      <c r="B13" s="1">
        <v>11</v>
      </c>
      <c r="C13" s="1">
        <v>402</v>
      </c>
      <c r="D13" s="1">
        <v>334</v>
      </c>
      <c r="E13" s="1">
        <v>167</v>
      </c>
      <c r="F13" s="1">
        <v>33</v>
      </c>
      <c r="G13" s="1">
        <f t="shared" si="9"/>
        <v>117</v>
      </c>
      <c r="H13" s="1">
        <f>(-(C22*(190-G13)-4.2926)*2)+17.9578</f>
        <v>20.275804000000001</v>
      </c>
      <c r="I13" s="1">
        <f t="shared" si="0"/>
        <v>322.71995885943659</v>
      </c>
      <c r="J13" s="1">
        <f t="shared" si="1"/>
        <v>2.0275804000000001E-2</v>
      </c>
      <c r="K13" s="1">
        <f t="shared" si="2"/>
        <v>3.2271995885943658E-4</v>
      </c>
      <c r="L13" s="1">
        <f t="shared" si="3"/>
        <v>104415.15</v>
      </c>
      <c r="M13" s="1">
        <f t="shared" si="4"/>
        <v>103748.07</v>
      </c>
      <c r="N13" s="1">
        <f t="shared" si="5"/>
        <v>71.765242283434048</v>
      </c>
      <c r="O13" s="1">
        <f t="shared" si="6"/>
        <v>63.548800146029599</v>
      </c>
      <c r="P13" s="1">
        <f t="shared" si="7"/>
        <v>2.3160076037247335E-2</v>
      </c>
      <c r="Q13" s="1">
        <f t="shared" si="7"/>
        <v>2.0508466168693229E-2</v>
      </c>
      <c r="R13" s="1">
        <f t="shared" si="8"/>
        <v>105059.51353418169</v>
      </c>
      <c r="S13" s="1">
        <f t="shared" si="8"/>
        <v>104109.82613894335</v>
      </c>
    </row>
    <row r="14" spans="2:19" x14ac:dyDescent="0.25">
      <c r="B14" s="1">
        <v>12</v>
      </c>
      <c r="C14" s="1">
        <v>356</v>
      </c>
      <c r="D14" s="1">
        <v>300</v>
      </c>
      <c r="E14" s="1">
        <v>180</v>
      </c>
      <c r="F14" s="1">
        <v>45</v>
      </c>
      <c r="G14" s="1">
        <f t="shared" si="9"/>
        <v>130</v>
      </c>
      <c r="H14" s="1">
        <f>(-(C22*(190-G14)-4.2926)*2)+17.9578</f>
        <v>21.39188</v>
      </c>
      <c r="I14" s="1">
        <f t="shared" si="0"/>
        <v>359.22583599850401</v>
      </c>
      <c r="J14" s="1">
        <f t="shared" si="1"/>
        <v>2.1391880000000002E-2</v>
      </c>
      <c r="K14" s="1">
        <f t="shared" si="2"/>
        <v>3.5922583599850411E-4</v>
      </c>
      <c r="L14" s="1">
        <f t="shared" si="3"/>
        <v>103963.89</v>
      </c>
      <c r="M14" s="1">
        <f t="shared" si="4"/>
        <v>103414.53</v>
      </c>
      <c r="N14" s="1">
        <f t="shared" si="5"/>
        <v>66.31854944131392</v>
      </c>
      <c r="O14" s="1">
        <f t="shared" si="6"/>
        <v>59.01313413131011</v>
      </c>
      <c r="P14" s="1">
        <f t="shared" si="7"/>
        <v>2.3823336365264122E-2</v>
      </c>
      <c r="Q14" s="1">
        <f t="shared" si="7"/>
        <v>2.1199042443211732E-2</v>
      </c>
      <c r="R14" s="1">
        <f t="shared" si="8"/>
        <v>104411.86104852994</v>
      </c>
      <c r="S14" s="1">
        <f t="shared" si="8"/>
        <v>103654.98390534459</v>
      </c>
    </row>
    <row r="15" spans="2:19" x14ac:dyDescent="0.25">
      <c r="B15" s="1">
        <v>13</v>
      </c>
      <c r="C15" s="1">
        <v>300</v>
      </c>
      <c r="D15" s="1">
        <v>254</v>
      </c>
      <c r="E15" s="1">
        <v>192</v>
      </c>
      <c r="F15" s="1">
        <v>58</v>
      </c>
      <c r="G15" s="1">
        <f t="shared" si="9"/>
        <v>142</v>
      </c>
      <c r="H15" s="1">
        <f>(-(C22*(190-G15)-4.2926)*2)+17.9578</f>
        <v>22.422103999999997</v>
      </c>
      <c r="I15" s="1">
        <f t="shared" si="0"/>
        <v>394.6593370126505</v>
      </c>
      <c r="J15" s="1">
        <f t="shared" si="1"/>
        <v>2.2422103999999998E-2</v>
      </c>
      <c r="K15" s="1">
        <f t="shared" si="2"/>
        <v>3.9465933701265054E-4</v>
      </c>
      <c r="L15" s="1">
        <f t="shared" si="3"/>
        <v>103414.53</v>
      </c>
      <c r="M15" s="1">
        <f t="shared" si="4"/>
        <v>102963.27</v>
      </c>
      <c r="N15" s="1">
        <f t="shared" si="5"/>
        <v>59.01313413131011</v>
      </c>
      <c r="O15" s="1">
        <f t="shared" si="6"/>
        <v>52.253708002399286</v>
      </c>
      <c r="P15" s="1">
        <f t="shared" si="7"/>
        <v>2.3290084391301466E-2</v>
      </c>
      <c r="Q15" s="1">
        <f t="shared" si="7"/>
        <v>2.0622413756679534E-2</v>
      </c>
      <c r="R15" s="1">
        <f t="shared" si="8"/>
        <v>103654.98390534459</v>
      </c>
      <c r="S15" s="1">
        <f t="shared" si="8"/>
        <v>103068.75824868883</v>
      </c>
    </row>
    <row r="16" spans="2:19" x14ac:dyDescent="0.25">
      <c r="B16" s="1">
        <v>14</v>
      </c>
      <c r="C16" s="1">
        <v>270</v>
      </c>
      <c r="D16" s="1">
        <v>232</v>
      </c>
      <c r="E16" s="1">
        <v>205</v>
      </c>
      <c r="F16" s="1">
        <v>70</v>
      </c>
      <c r="G16" s="1">
        <f t="shared" si="9"/>
        <v>155</v>
      </c>
      <c r="H16" s="1">
        <f>(-(C22*(190-G16)-4.2926)*2)+17.9578</f>
        <v>23.538179999999997</v>
      </c>
      <c r="I16" s="1">
        <f t="shared" si="0"/>
        <v>434.92604540423389</v>
      </c>
      <c r="J16" s="1">
        <f t="shared" si="1"/>
        <v>2.3538179999999995E-2</v>
      </c>
      <c r="K16" s="1">
        <f t="shared" si="2"/>
        <v>4.3492604540423384E-4</v>
      </c>
      <c r="L16" s="1">
        <f t="shared" si="3"/>
        <v>103120.23</v>
      </c>
      <c r="M16" s="1">
        <f t="shared" si="4"/>
        <v>102747.45</v>
      </c>
      <c r="N16" s="1">
        <f t="shared" si="5"/>
        <v>54.699634368064963</v>
      </c>
      <c r="O16" s="1">
        <f t="shared" si="6"/>
        <v>48.690348119519491</v>
      </c>
      <c r="P16" s="1">
        <f t="shared" si="7"/>
        <v>2.3790295660760012E-2</v>
      </c>
      <c r="Q16" s="1">
        <f t="shared" si="7"/>
        <v>2.1176700556978085E-2</v>
      </c>
      <c r="R16" s="1">
        <f t="shared" si="8"/>
        <v>103268.22582936469</v>
      </c>
      <c r="S16" s="1">
        <f t="shared" si="8"/>
        <v>102803.85881996808</v>
      </c>
    </row>
    <row r="17" spans="2:19" x14ac:dyDescent="0.25">
      <c r="B17" s="1">
        <v>15</v>
      </c>
      <c r="C17" s="1">
        <v>248</v>
      </c>
      <c r="D17" s="1">
        <v>216</v>
      </c>
      <c r="E17" s="1">
        <v>217</v>
      </c>
      <c r="F17" s="1">
        <v>83</v>
      </c>
      <c r="G17" s="1">
        <f t="shared" si="9"/>
        <v>167</v>
      </c>
      <c r="H17" s="1">
        <f>(-(C22*(190-G17)-4.2926)*2)+17.9578</f>
        <v>24.568404000000001</v>
      </c>
      <c r="I17" s="1">
        <f t="shared" si="0"/>
        <v>473.83108295916463</v>
      </c>
      <c r="J17" s="1">
        <f t="shared" si="1"/>
        <v>2.4568404000000002E-2</v>
      </c>
      <c r="K17" s="1">
        <f t="shared" si="2"/>
        <v>4.7383108295916463E-4</v>
      </c>
      <c r="L17" s="1">
        <f t="shared" si="3"/>
        <v>102904.41</v>
      </c>
      <c r="M17" s="1">
        <f t="shared" si="4"/>
        <v>102590.49</v>
      </c>
      <c r="N17" s="1">
        <f t="shared" si="5"/>
        <v>51.30643234527232</v>
      </c>
      <c r="O17" s="1">
        <f t="shared" si="6"/>
        <v>45.925483122118692</v>
      </c>
      <c r="P17" s="1">
        <f t="shared" si="7"/>
        <v>2.4310582400931497E-2</v>
      </c>
      <c r="Q17" s="1">
        <f>O17*$K17</f>
        <v>2.1760921403176335E-2</v>
      </c>
      <c r="R17" s="1">
        <f t="shared" si="8"/>
        <v>102995.36419089499</v>
      </c>
      <c r="S17" s="1">
        <f t="shared" si="8"/>
        <v>102619.31535905741</v>
      </c>
    </row>
    <row r="18" spans="2:19" x14ac:dyDescent="0.25">
      <c r="B18" s="1">
        <v>16</v>
      </c>
      <c r="C18" s="1">
        <v>230</v>
      </c>
      <c r="D18" s="1">
        <v>200</v>
      </c>
      <c r="E18" s="1">
        <v>242</v>
      </c>
      <c r="F18" s="1">
        <v>108</v>
      </c>
      <c r="G18" s="1" t="s">
        <v>7</v>
      </c>
      <c r="H18" s="1">
        <v>26.542999999999999</v>
      </c>
      <c r="I18" s="1">
        <f t="shared" si="0"/>
        <v>553.05671646500002</v>
      </c>
      <c r="J18" s="1">
        <f t="shared" si="1"/>
        <v>2.6543000000000001E-2</v>
      </c>
      <c r="K18" s="1">
        <f t="shared" si="2"/>
        <v>5.5305671646500008E-4</v>
      </c>
      <c r="L18" s="1">
        <f t="shared" si="3"/>
        <v>102727.83</v>
      </c>
      <c r="M18" s="1">
        <f t="shared" si="4"/>
        <v>102433.53</v>
      </c>
      <c r="N18" s="1">
        <f t="shared" si="5"/>
        <v>48.353386644577469</v>
      </c>
      <c r="O18" s="1">
        <f t="shared" si="6"/>
        <v>42.983136228060395</v>
      </c>
      <c r="P18" s="1">
        <f t="shared" si="7"/>
        <v>2.6742165247612602E-2</v>
      </c>
      <c r="Q18" s="1">
        <f t="shared" si="7"/>
        <v>2.3772112185658872E-2</v>
      </c>
      <c r="R18" s="1">
        <f t="shared" si="8"/>
        <v>102780.38628401259</v>
      </c>
      <c r="S18" s="1">
        <f t="shared" si="8"/>
        <v>102443.07682209856</v>
      </c>
    </row>
    <row r="21" spans="2:19" x14ac:dyDescent="0.25">
      <c r="B21" s="2" t="s">
        <v>8</v>
      </c>
      <c r="C21">
        <f>-4.2926/90</f>
        <v>-4.769555555555556E-2</v>
      </c>
    </row>
    <row r="22" spans="2:19" x14ac:dyDescent="0.25">
      <c r="B22" s="2" t="s">
        <v>9</v>
      </c>
      <c r="C22">
        <f>4.2926/100</f>
        <v>4.2925999999999999E-2</v>
      </c>
    </row>
    <row r="24" spans="2:19" x14ac:dyDescent="0.25">
      <c r="B24" s="2" t="s">
        <v>13</v>
      </c>
      <c r="C24">
        <v>87</v>
      </c>
    </row>
    <row r="26" spans="2:19" x14ac:dyDescent="0.25">
      <c r="B26" s="2" t="s">
        <v>23</v>
      </c>
      <c r="C26">
        <f>SQRT(((2*(L11-L3))/1.2)/(1-(($K11/$K3)^2)))</f>
        <v>92.914889346895706</v>
      </c>
    </row>
    <row r="27" spans="2:19" x14ac:dyDescent="0.25">
      <c r="B27" s="2" t="s">
        <v>20</v>
      </c>
      <c r="C27">
        <f>C26*K11</f>
        <v>2.5303034804407477E-2</v>
      </c>
    </row>
    <row r="29" spans="2:19" x14ac:dyDescent="0.25">
      <c r="B29" s="2" t="s">
        <v>22</v>
      </c>
      <c r="C29">
        <f>SQRT(((2*(M11-M3))/1.2)/(1-(($K11/$K3)^2)))</f>
        <v>81.267337514493448</v>
      </c>
    </row>
    <row r="30" spans="2:19" x14ac:dyDescent="0.25">
      <c r="B30" s="2" t="s">
        <v>24</v>
      </c>
      <c r="C30">
        <f>C29*K11</f>
        <v>2.2131116810714457E-2</v>
      </c>
    </row>
    <row r="32" spans="2:19" x14ac:dyDescent="0.25">
      <c r="B32" s="2" t="s">
        <v>34</v>
      </c>
      <c r="C32">
        <f>AVERAGE(P3:P18)</f>
        <v>2.3297368077450913E-2</v>
      </c>
    </row>
    <row r="33" spans="2:3" x14ac:dyDescent="0.25">
      <c r="B33" s="2" t="s">
        <v>35</v>
      </c>
      <c r="C33">
        <f>AVERAGE(Q3:Q18)</f>
        <v>2.0732824499240129E-2</v>
      </c>
    </row>
    <row r="35" spans="2:3" x14ac:dyDescent="0.25">
      <c r="B35" s="2" t="s">
        <v>21</v>
      </c>
      <c r="C35">
        <f>C32/C27</f>
        <v>0.92073414345510829</v>
      </c>
    </row>
    <row r="36" spans="2:3" x14ac:dyDescent="0.25">
      <c r="B36" s="2" t="s">
        <v>25</v>
      </c>
      <c r="C36">
        <f>C33/C30</f>
        <v>0.93681781523120577</v>
      </c>
    </row>
    <row r="38" spans="2:3" x14ac:dyDescent="0.25">
      <c r="B38" s="2" t="s">
        <v>28</v>
      </c>
      <c r="C38">
        <f>0.5*1.2*(N11^2)</f>
        <v>4836.3300000000008</v>
      </c>
    </row>
    <row r="39" spans="2:3" x14ac:dyDescent="0.25">
      <c r="B39" s="2" t="s">
        <v>29</v>
      </c>
      <c r="C39">
        <f>0.5*1.2*(O11^2)</f>
        <v>3737.6100000000006</v>
      </c>
    </row>
    <row r="41" spans="2:3" x14ac:dyDescent="0.25">
      <c r="B41" s="2" t="s">
        <v>30</v>
      </c>
      <c r="C41">
        <f>L11-101325</f>
        <v>4836.3300000000017</v>
      </c>
    </row>
    <row r="42" spans="2:3" x14ac:dyDescent="0.25">
      <c r="B42" s="2" t="s">
        <v>31</v>
      </c>
      <c r="C42">
        <f>M11-101325</f>
        <v>3737.6100000000006</v>
      </c>
    </row>
    <row r="44" spans="2:3" x14ac:dyDescent="0.25">
      <c r="B44" s="2" t="s">
        <v>33</v>
      </c>
      <c r="C44">
        <f>C38+C41</f>
        <v>9672.6600000000035</v>
      </c>
    </row>
    <row r="45" spans="2:3" x14ac:dyDescent="0.25">
      <c r="B45" s="2" t="s">
        <v>32</v>
      </c>
      <c r="C45">
        <f>C39+C42</f>
        <v>7475.2200000000012</v>
      </c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3:R29"/>
  <sheetViews>
    <sheetView topLeftCell="A13" workbookViewId="0">
      <selection activeCell="F32" sqref="F32"/>
    </sheetView>
  </sheetViews>
  <sheetFormatPr defaultRowHeight="15" x14ac:dyDescent="0.25"/>
  <cols>
    <col min="1" max="1" width="10.42578125" bestFit="1" customWidth="1"/>
    <col min="2" max="3" width="6.7109375" bestFit="1" customWidth="1"/>
    <col min="4" max="4" width="5.140625" bestFit="1" customWidth="1"/>
    <col min="5" max="5" width="6.7109375" bestFit="1" customWidth="1"/>
    <col min="6" max="6" width="24.85546875" bestFit="1" customWidth="1"/>
    <col min="7" max="7" width="9.28515625" bestFit="1" customWidth="1"/>
    <col min="8" max="8" width="19.140625" bestFit="1" customWidth="1"/>
    <col min="9" max="9" width="12.85546875" bestFit="1" customWidth="1"/>
    <col min="10" max="10" width="24.85546875" bestFit="1" customWidth="1"/>
    <col min="11" max="11" width="10" bestFit="1" customWidth="1"/>
    <col min="12" max="12" width="10" customWidth="1"/>
    <col min="13" max="13" width="15.28515625" bestFit="1" customWidth="1"/>
    <col min="14" max="14" width="14.5703125" bestFit="1" customWidth="1"/>
    <col min="15" max="16" width="14" bestFit="1" customWidth="1"/>
    <col min="17" max="18" width="20" bestFit="1" customWidth="1"/>
  </cols>
  <sheetData>
    <row r="13" spans="1:18" x14ac:dyDescent="0.25">
      <c r="A13" s="3" t="s">
        <v>0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6</v>
      </c>
      <c r="G13" s="3" t="s">
        <v>5</v>
      </c>
      <c r="H13" s="3" t="s">
        <v>10</v>
      </c>
      <c r="I13" s="3" t="s">
        <v>12</v>
      </c>
      <c r="J13" s="3" t="s">
        <v>11</v>
      </c>
      <c r="K13" s="3" t="s">
        <v>14</v>
      </c>
      <c r="L13" s="3" t="s">
        <v>15</v>
      </c>
      <c r="M13" s="3" t="s">
        <v>17</v>
      </c>
      <c r="N13" s="3" t="s">
        <v>16</v>
      </c>
      <c r="O13" s="3" t="s">
        <v>18</v>
      </c>
      <c r="P13" s="3" t="s">
        <v>19</v>
      </c>
      <c r="Q13" s="3" t="s">
        <v>26</v>
      </c>
      <c r="R13" s="3" t="s">
        <v>27</v>
      </c>
    </row>
    <row r="14" spans="1:18" x14ac:dyDescent="0.25">
      <c r="A14" s="1">
        <v>1</v>
      </c>
      <c r="B14" s="1">
        <v>180</v>
      </c>
      <c r="C14" s="1">
        <v>162</v>
      </c>
      <c r="D14" s="1">
        <v>0</v>
      </c>
      <c r="E14" s="1">
        <v>133</v>
      </c>
      <c r="F14" s="1" t="s">
        <v>7</v>
      </c>
      <c r="G14" s="1">
        <v>26.542999999999999</v>
      </c>
      <c r="H14" s="1">
        <f>(3.14/4)*POWER(G14,2)</f>
        <v>553.05671646500002</v>
      </c>
      <c r="I14" s="1">
        <f>G14/1000</f>
        <v>2.6543000000000001E-2</v>
      </c>
      <c r="J14" s="1">
        <f>(3.14/4)*POWER(I14,2)</f>
        <v>5.5305671646500008E-4</v>
      </c>
      <c r="K14" s="1">
        <f>101325+(1000*9.81*((B14-87)/1000))</f>
        <v>102237.33</v>
      </c>
      <c r="L14" s="1">
        <f>101325+(1000*9.81*((C14-87)/1000))</f>
        <v>102060.75</v>
      </c>
      <c r="M14" s="1">
        <f>((-2*(101325-K14))/1.2)^(1/2)</f>
        <v>38.99423034244942</v>
      </c>
      <c r="N14" s="1">
        <f>((-2*(101325-L14))/1.2)^(1/2)</f>
        <v>35.017852589786258</v>
      </c>
      <c r="O14" s="1">
        <f>M14*$K14</f>
        <v>3986665.9956170144</v>
      </c>
      <c r="P14" s="1">
        <f>N14*$K14</f>
        <v>3580131.7511133323</v>
      </c>
      <c r="Q14" s="1">
        <f>((1/2)*1.2*(($N$3-M14)^2))+K14</f>
        <v>103149.66</v>
      </c>
      <c r="R14" s="1">
        <f>((1/2)*1.2*(($N$3-N14)^2))+L14</f>
        <v>102796.5</v>
      </c>
    </row>
    <row r="15" spans="1:18" x14ac:dyDescent="0.25">
      <c r="A15" s="1">
        <v>2</v>
      </c>
      <c r="B15" s="1">
        <v>180</v>
      </c>
      <c r="C15" s="1">
        <v>162</v>
      </c>
      <c r="D15" s="1">
        <v>25</v>
      </c>
      <c r="E15" s="1">
        <v>108</v>
      </c>
      <c r="F15" s="1" t="s">
        <v>7</v>
      </c>
      <c r="G15" s="1">
        <v>26.542999999999999</v>
      </c>
      <c r="H15" s="1">
        <f t="shared" ref="H15:H29" si="0">(3.14/4)*POWER(G15,2)</f>
        <v>553.05671646500002</v>
      </c>
      <c r="I15" s="1">
        <f t="shared" ref="I15:I29" si="1">G15/1000</f>
        <v>2.6543000000000001E-2</v>
      </c>
      <c r="J15" s="1">
        <f t="shared" ref="J15:J29" si="2">(3.14/4)*POWER(I15,2)</f>
        <v>5.5305671646500008E-4</v>
      </c>
      <c r="K15" s="1">
        <f t="shared" ref="K15:L29" si="3">101325+(1000*9.81*((B15-87)/1000))</f>
        <v>102237.33</v>
      </c>
      <c r="L15" s="1">
        <f t="shared" si="3"/>
        <v>102060.75</v>
      </c>
      <c r="M15" s="1">
        <f t="shared" ref="M15:N29" si="4">((-2*(101325-K15))/1.2)^(1/2)</f>
        <v>38.99423034244942</v>
      </c>
      <c r="N15" s="1">
        <f t="shared" si="4"/>
        <v>35.017852589786258</v>
      </c>
      <c r="O15" s="1">
        <f t="shared" ref="O15:P29" si="5">M15*$K15</f>
        <v>3986665.9956170144</v>
      </c>
      <c r="P15" s="1">
        <f t="shared" si="5"/>
        <v>3580131.7511133323</v>
      </c>
      <c r="Q15" s="1">
        <f t="shared" ref="Q15:R29" si="6">((1/2)*1.2*(($N$3-M15)^2))+K15</f>
        <v>103149.66</v>
      </c>
      <c r="R15" s="1">
        <f t="shared" si="6"/>
        <v>102796.5</v>
      </c>
    </row>
    <row r="16" spans="1:18" x14ac:dyDescent="0.25">
      <c r="A16" s="1">
        <v>3</v>
      </c>
      <c r="B16" s="1">
        <v>182</v>
      </c>
      <c r="C16" s="1">
        <v>164</v>
      </c>
      <c r="D16" s="1">
        <v>50</v>
      </c>
      <c r="E16" s="1">
        <v>83</v>
      </c>
      <c r="F16" s="1">
        <f>SUM(D16-50)</f>
        <v>0</v>
      </c>
      <c r="G16" s="1">
        <f>((-B32*(90-F16))*2)+17.9578</f>
        <v>17.957799999999999</v>
      </c>
      <c r="H16" s="1">
        <f t="shared" si="0"/>
        <v>253.14882595939997</v>
      </c>
      <c r="I16" s="1">
        <f t="shared" si="1"/>
        <v>1.7957799999999999E-2</v>
      </c>
      <c r="J16" s="1">
        <f t="shared" si="2"/>
        <v>2.5314882595940002E-4</v>
      </c>
      <c r="K16" s="1">
        <f t="shared" si="3"/>
        <v>102256.95</v>
      </c>
      <c r="L16" s="1">
        <f t="shared" si="3"/>
        <v>102080.37</v>
      </c>
      <c r="M16" s="1">
        <f t="shared" si="4"/>
        <v>39.411292797877046</v>
      </c>
      <c r="N16" s="1">
        <f t="shared" si="4"/>
        <v>35.481685416563742</v>
      </c>
      <c r="O16" s="1">
        <f t="shared" si="5"/>
        <v>4030078.597067873</v>
      </c>
      <c r="P16" s="1">
        <f t="shared" si="5"/>
        <v>3628248.9315572875</v>
      </c>
      <c r="Q16" s="1">
        <f t="shared" si="6"/>
        <v>103188.9</v>
      </c>
      <c r="R16" s="1">
        <f t="shared" si="6"/>
        <v>102835.73999999999</v>
      </c>
    </row>
    <row r="17" spans="1:18" x14ac:dyDescent="0.25">
      <c r="A17" s="1">
        <v>4</v>
      </c>
      <c r="B17" s="1">
        <v>206</v>
      </c>
      <c r="C17" s="1">
        <v>182</v>
      </c>
      <c r="D17" s="1">
        <v>66</v>
      </c>
      <c r="E17" s="1">
        <v>67</v>
      </c>
      <c r="F17" s="1">
        <f t="shared" ref="F17:F28" si="7">SUM(D17-50)</f>
        <v>16</v>
      </c>
      <c r="G17" s="1">
        <f>((-B32*(90-F17))*2)+17.9578</f>
        <v>17.957799999999999</v>
      </c>
      <c r="H17" s="1">
        <f t="shared" si="0"/>
        <v>253.14882595939997</v>
      </c>
      <c r="I17" s="1">
        <f t="shared" si="1"/>
        <v>1.7957799999999999E-2</v>
      </c>
      <c r="J17" s="1">
        <f t="shared" si="2"/>
        <v>2.5314882595940002E-4</v>
      </c>
      <c r="K17" s="1">
        <f t="shared" si="3"/>
        <v>102492.39</v>
      </c>
      <c r="L17" s="1">
        <f t="shared" si="3"/>
        <v>102256.95</v>
      </c>
      <c r="M17" s="1">
        <f t="shared" si="4"/>
        <v>44.109522781367737</v>
      </c>
      <c r="N17" s="1">
        <f t="shared" si="4"/>
        <v>39.411292797877046</v>
      </c>
      <c r="O17" s="1">
        <f t="shared" si="5"/>
        <v>4520890.4116218267</v>
      </c>
      <c r="P17" s="1">
        <f t="shared" si="5"/>
        <v>4039357.5918442053</v>
      </c>
      <c r="Q17" s="1">
        <f t="shared" si="6"/>
        <v>103659.78</v>
      </c>
      <c r="R17" s="1">
        <f t="shared" si="6"/>
        <v>103188.9</v>
      </c>
    </row>
    <row r="18" spans="1:18" x14ac:dyDescent="0.25">
      <c r="A18" s="1">
        <v>5</v>
      </c>
      <c r="B18" s="1">
        <v>228</v>
      </c>
      <c r="C18" s="1">
        <v>198</v>
      </c>
      <c r="D18" s="1">
        <v>75</v>
      </c>
      <c r="E18" s="1">
        <v>58</v>
      </c>
      <c r="F18" s="1">
        <f t="shared" si="7"/>
        <v>25</v>
      </c>
      <c r="G18" s="1">
        <f>((-B32*(90-F18))*2)+17.9578</f>
        <v>17.957799999999999</v>
      </c>
      <c r="H18" s="1">
        <f t="shared" si="0"/>
        <v>253.14882595939997</v>
      </c>
      <c r="I18" s="1">
        <f t="shared" si="1"/>
        <v>1.7957799999999999E-2</v>
      </c>
      <c r="J18" s="1">
        <f t="shared" si="2"/>
        <v>2.5314882595940002E-4</v>
      </c>
      <c r="K18" s="1">
        <f t="shared" si="3"/>
        <v>102708.21</v>
      </c>
      <c r="L18" s="1">
        <f t="shared" si="3"/>
        <v>102413.91</v>
      </c>
      <c r="M18" s="1">
        <f t="shared" si="4"/>
        <v>48.014060440666867</v>
      </c>
      <c r="N18" s="1">
        <f t="shared" si="4"/>
        <v>42.601056324931733</v>
      </c>
      <c r="O18" s="1">
        <f t="shared" si="5"/>
        <v>4931438.2026927052</v>
      </c>
      <c r="P18" s="1">
        <f t="shared" si="5"/>
        <v>4375478.2392429169</v>
      </c>
      <c r="Q18" s="1">
        <f t="shared" si="6"/>
        <v>104091.42000000001</v>
      </c>
      <c r="R18" s="1">
        <f t="shared" si="6"/>
        <v>103502.82</v>
      </c>
    </row>
    <row r="19" spans="1:18" x14ac:dyDescent="0.25">
      <c r="A19" s="1">
        <v>6</v>
      </c>
      <c r="B19" s="1">
        <v>274</v>
      </c>
      <c r="C19" s="1">
        <v>234</v>
      </c>
      <c r="D19" s="1">
        <v>89</v>
      </c>
      <c r="E19" s="1">
        <v>44</v>
      </c>
      <c r="F19" s="1">
        <f t="shared" si="7"/>
        <v>39</v>
      </c>
      <c r="G19" s="1">
        <f>((-B32*(90-F19))*2)+17.9578</f>
        <v>17.957799999999999</v>
      </c>
      <c r="H19" s="1">
        <f t="shared" si="0"/>
        <v>253.14882595939997</v>
      </c>
      <c r="I19" s="1">
        <f t="shared" si="1"/>
        <v>1.7957799999999999E-2</v>
      </c>
      <c r="J19" s="1">
        <f t="shared" si="2"/>
        <v>2.5314882595940002E-4</v>
      </c>
      <c r="K19" s="1">
        <f t="shared" si="3"/>
        <v>103159.47</v>
      </c>
      <c r="L19" s="1">
        <f t="shared" si="3"/>
        <v>102767.07</v>
      </c>
      <c r="M19" s="1">
        <f t="shared" si="4"/>
        <v>55.294213078766226</v>
      </c>
      <c r="N19" s="1">
        <f t="shared" si="4"/>
        <v>49.02499362570088</v>
      </c>
      <c r="O19" s="1">
        <f t="shared" si="5"/>
        <v>5704121.7152725924</v>
      </c>
      <c r="P19" s="1">
        <f t="shared" si="5"/>
        <v>5057392.3591806814</v>
      </c>
      <c r="Q19" s="1">
        <f t="shared" si="6"/>
        <v>104993.94</v>
      </c>
      <c r="R19" s="1">
        <f t="shared" si="6"/>
        <v>104209.14000000001</v>
      </c>
    </row>
    <row r="20" spans="1:18" x14ac:dyDescent="0.25">
      <c r="A20" s="1">
        <v>7</v>
      </c>
      <c r="B20" s="1">
        <v>326</v>
      </c>
      <c r="C20" s="1">
        <v>274</v>
      </c>
      <c r="D20" s="1">
        <v>100</v>
      </c>
      <c r="E20" s="1">
        <v>33</v>
      </c>
      <c r="F20" s="1">
        <f t="shared" si="7"/>
        <v>50</v>
      </c>
      <c r="G20" s="1">
        <f>((-B32*(90-F20))*2)+17.9578</f>
        <v>17.957799999999999</v>
      </c>
      <c r="H20" s="1">
        <f t="shared" si="0"/>
        <v>253.14882595939997</v>
      </c>
      <c r="I20" s="1">
        <f t="shared" si="1"/>
        <v>1.7957799999999999E-2</v>
      </c>
      <c r="J20" s="1">
        <f t="shared" si="2"/>
        <v>2.5314882595940002E-4</v>
      </c>
      <c r="K20" s="1">
        <f t="shared" si="3"/>
        <v>103669.59</v>
      </c>
      <c r="L20" s="1">
        <f t="shared" si="3"/>
        <v>103159.47</v>
      </c>
      <c r="M20" s="1">
        <f t="shared" si="4"/>
        <v>62.511198996659743</v>
      </c>
      <c r="N20" s="1">
        <f t="shared" si="4"/>
        <v>55.294213078766226</v>
      </c>
      <c r="O20" s="1">
        <f t="shared" si="5"/>
        <v>6480510.370392127</v>
      </c>
      <c r="P20" s="1">
        <f t="shared" si="5"/>
        <v>5732328.3992483318</v>
      </c>
      <c r="Q20" s="1">
        <f t="shared" si="6"/>
        <v>106014.18</v>
      </c>
      <c r="R20" s="1">
        <f t="shared" si="6"/>
        <v>104993.94</v>
      </c>
    </row>
    <row r="21" spans="1:18" x14ac:dyDescent="0.25">
      <c r="A21" s="1">
        <v>8</v>
      </c>
      <c r="B21" s="1">
        <v>408</v>
      </c>
      <c r="C21" s="1">
        <v>336</v>
      </c>
      <c r="D21" s="1">
        <v>113</v>
      </c>
      <c r="E21" s="1">
        <v>20</v>
      </c>
      <c r="F21" s="1">
        <f>SUM(D21-50)</f>
        <v>63</v>
      </c>
      <c r="G21" s="1">
        <f>((-B32*(90-F21))*2)+17.9578</f>
        <v>17.957799999999999</v>
      </c>
      <c r="H21" s="1">
        <f t="shared" si="0"/>
        <v>253.14882595939997</v>
      </c>
      <c r="I21" s="1">
        <f t="shared" si="1"/>
        <v>1.7957799999999999E-2</v>
      </c>
      <c r="J21" s="1">
        <f t="shared" si="2"/>
        <v>2.5314882595940002E-4</v>
      </c>
      <c r="K21" s="1">
        <f t="shared" si="3"/>
        <v>104474.01</v>
      </c>
      <c r="L21" s="1">
        <f t="shared" si="3"/>
        <v>103767.69</v>
      </c>
      <c r="M21" s="1">
        <f t="shared" si="4"/>
        <v>72.44549675445667</v>
      </c>
      <c r="N21" s="1">
        <f t="shared" si="4"/>
        <v>63.805564020702803</v>
      </c>
      <c r="O21" s="1">
        <f t="shared" si="5"/>
        <v>7568671.5523800729</v>
      </c>
      <c r="P21" s="1">
        <f t="shared" si="5"/>
        <v>6666023.1335545443</v>
      </c>
      <c r="Q21" s="1">
        <f t="shared" si="6"/>
        <v>107623.01999999999</v>
      </c>
      <c r="R21" s="1">
        <f t="shared" si="6"/>
        <v>106210.38</v>
      </c>
    </row>
    <row r="22" spans="1:18" x14ac:dyDescent="0.25">
      <c r="A22" s="1">
        <v>9</v>
      </c>
      <c r="B22" s="1">
        <v>580</v>
      </c>
      <c r="C22" s="1">
        <v>468</v>
      </c>
      <c r="D22" s="1">
        <v>133</v>
      </c>
      <c r="E22" s="1">
        <v>0</v>
      </c>
      <c r="F22" s="1">
        <f t="shared" si="7"/>
        <v>83</v>
      </c>
      <c r="G22" s="1">
        <f>((-B32*(90-F22))*2)+17.9578</f>
        <v>17.957799999999999</v>
      </c>
      <c r="H22" s="1">
        <f t="shared" si="0"/>
        <v>253.14882595939997</v>
      </c>
      <c r="I22" s="1">
        <f t="shared" si="1"/>
        <v>1.7957799999999999E-2</v>
      </c>
      <c r="J22" s="1">
        <f t="shared" si="2"/>
        <v>2.5314882595940002E-4</v>
      </c>
      <c r="K22" s="1">
        <f t="shared" si="3"/>
        <v>106161.33</v>
      </c>
      <c r="L22" s="1">
        <f t="shared" si="3"/>
        <v>105062.61</v>
      </c>
      <c r="M22" s="1">
        <f t="shared" si="4"/>
        <v>89.78056582579552</v>
      </c>
      <c r="N22" s="1">
        <f t="shared" si="4"/>
        <v>78.926231380954718</v>
      </c>
      <c r="O22" s="1">
        <f t="shared" si="5"/>
        <v>9531224.276219001</v>
      </c>
      <c r="P22" s="1">
        <f t="shared" si="5"/>
        <v>8378913.6952898894</v>
      </c>
      <c r="Q22" s="1">
        <f t="shared" si="6"/>
        <v>110997.66</v>
      </c>
      <c r="R22" s="1">
        <f t="shared" si="6"/>
        <v>108800.22</v>
      </c>
    </row>
    <row r="23" spans="1:18" x14ac:dyDescent="0.25">
      <c r="A23" s="1">
        <v>10</v>
      </c>
      <c r="B23" s="1">
        <v>530</v>
      </c>
      <c r="C23" s="1">
        <v>444</v>
      </c>
      <c r="D23" s="1">
        <v>155</v>
      </c>
      <c r="E23" s="1">
        <v>20</v>
      </c>
      <c r="F23" s="1">
        <f t="shared" si="7"/>
        <v>105</v>
      </c>
      <c r="G23" s="1">
        <f>(-(B33*(190-F23)-4.2926)*2)+17.9578</f>
        <v>26.542999999999999</v>
      </c>
      <c r="H23" s="1">
        <f t="shared" si="0"/>
        <v>553.05671646500002</v>
      </c>
      <c r="I23" s="1">
        <f t="shared" si="1"/>
        <v>2.6543000000000001E-2</v>
      </c>
      <c r="J23" s="1">
        <f t="shared" si="2"/>
        <v>5.5305671646500008E-4</v>
      </c>
      <c r="K23" s="1">
        <f t="shared" si="3"/>
        <v>105670.83</v>
      </c>
      <c r="L23" s="1">
        <f t="shared" si="3"/>
        <v>104827.17</v>
      </c>
      <c r="M23" s="1">
        <f t="shared" si="4"/>
        <v>85.1061102389247</v>
      </c>
      <c r="N23" s="1">
        <f t="shared" si="4"/>
        <v>76.399934554945773</v>
      </c>
      <c r="O23" s="1">
        <f t="shared" si="5"/>
        <v>8993233.3070186712</v>
      </c>
      <c r="P23" s="1">
        <f t="shared" si="5"/>
        <v>8073244.4963668007</v>
      </c>
      <c r="Q23" s="1">
        <f t="shared" si="6"/>
        <v>110016.66</v>
      </c>
      <c r="R23" s="1">
        <f t="shared" si="6"/>
        <v>108329.34</v>
      </c>
    </row>
    <row r="24" spans="1:18" x14ac:dyDescent="0.25">
      <c r="A24" s="1">
        <v>11</v>
      </c>
      <c r="B24" s="1">
        <v>402</v>
      </c>
      <c r="C24" s="1">
        <v>334</v>
      </c>
      <c r="D24" s="1">
        <v>167</v>
      </c>
      <c r="E24" s="1">
        <v>33</v>
      </c>
      <c r="F24" s="1">
        <f t="shared" si="7"/>
        <v>117</v>
      </c>
      <c r="G24" s="1">
        <f>(-(B33*(190-F24)-4.2926)*2)+17.9578</f>
        <v>26.542999999999999</v>
      </c>
      <c r="H24" s="1">
        <f t="shared" si="0"/>
        <v>553.05671646500002</v>
      </c>
      <c r="I24" s="1">
        <f t="shared" si="1"/>
        <v>2.6543000000000001E-2</v>
      </c>
      <c r="J24" s="1">
        <f t="shared" si="2"/>
        <v>5.5305671646500008E-4</v>
      </c>
      <c r="K24" s="1">
        <f t="shared" si="3"/>
        <v>104415.15</v>
      </c>
      <c r="L24" s="1">
        <f t="shared" si="3"/>
        <v>103748.07</v>
      </c>
      <c r="M24" s="1">
        <f t="shared" si="4"/>
        <v>71.765242283434048</v>
      </c>
      <c r="N24" s="1">
        <f t="shared" si="4"/>
        <v>63.548800146029599</v>
      </c>
      <c r="O24" s="1">
        <f t="shared" si="5"/>
        <v>7493378.5378111079</v>
      </c>
      <c r="P24" s="1">
        <f t="shared" si="5"/>
        <v>6635457.4995677024</v>
      </c>
      <c r="Q24" s="1">
        <f t="shared" si="6"/>
        <v>107505.29999999999</v>
      </c>
      <c r="R24" s="1">
        <f t="shared" si="6"/>
        <v>106171.14000000001</v>
      </c>
    </row>
    <row r="25" spans="1:18" x14ac:dyDescent="0.25">
      <c r="A25" s="1">
        <v>12</v>
      </c>
      <c r="B25" s="1">
        <v>356</v>
      </c>
      <c r="C25" s="1">
        <v>300</v>
      </c>
      <c r="D25" s="1">
        <v>180</v>
      </c>
      <c r="E25" s="1">
        <v>45</v>
      </c>
      <c r="F25" s="1">
        <f t="shared" si="7"/>
        <v>130</v>
      </c>
      <c r="G25" s="1">
        <f>(-(B33*(190-F25)-4.2926)*2)+17.9578</f>
        <v>26.542999999999999</v>
      </c>
      <c r="H25" s="1">
        <f t="shared" si="0"/>
        <v>553.05671646500002</v>
      </c>
      <c r="I25" s="1">
        <f t="shared" si="1"/>
        <v>2.6543000000000001E-2</v>
      </c>
      <c r="J25" s="1">
        <f t="shared" si="2"/>
        <v>5.5305671646500008E-4</v>
      </c>
      <c r="K25" s="1">
        <f t="shared" si="3"/>
        <v>103963.89</v>
      </c>
      <c r="L25" s="1">
        <f t="shared" si="3"/>
        <v>103414.53</v>
      </c>
      <c r="M25" s="1">
        <f t="shared" si="4"/>
        <v>66.31854944131392</v>
      </c>
      <c r="N25" s="1">
        <f t="shared" si="4"/>
        <v>59.01313413131011</v>
      </c>
      <c r="O25" s="1">
        <f t="shared" si="5"/>
        <v>6894734.3790763216</v>
      </c>
      <c r="P25" s="1">
        <f t="shared" si="5"/>
        <v>6135234.9853827702</v>
      </c>
      <c r="Q25" s="1">
        <f t="shared" si="6"/>
        <v>106602.78</v>
      </c>
      <c r="R25" s="1">
        <f t="shared" si="6"/>
        <v>105504.06</v>
      </c>
    </row>
    <row r="26" spans="1:18" x14ac:dyDescent="0.25">
      <c r="A26" s="1">
        <v>13</v>
      </c>
      <c r="B26" s="1">
        <v>300</v>
      </c>
      <c r="C26" s="1">
        <v>254</v>
      </c>
      <c r="D26" s="1">
        <v>192</v>
      </c>
      <c r="E26" s="1">
        <v>58</v>
      </c>
      <c r="F26" s="1">
        <f t="shared" si="7"/>
        <v>142</v>
      </c>
      <c r="G26" s="1">
        <f>(-(B33*(190-F26)-4.2926)*2)+17.9578</f>
        <v>26.542999999999999</v>
      </c>
      <c r="H26" s="1">
        <f t="shared" si="0"/>
        <v>553.05671646500002</v>
      </c>
      <c r="I26" s="1">
        <f t="shared" si="1"/>
        <v>2.6543000000000001E-2</v>
      </c>
      <c r="J26" s="1">
        <f t="shared" si="2"/>
        <v>5.5305671646500008E-4</v>
      </c>
      <c r="K26" s="1">
        <f t="shared" si="3"/>
        <v>103414.53</v>
      </c>
      <c r="L26" s="1">
        <f t="shared" si="3"/>
        <v>102963.27</v>
      </c>
      <c r="M26" s="1">
        <f t="shared" si="4"/>
        <v>59.01313413131011</v>
      </c>
      <c r="N26" s="1">
        <f t="shared" si="4"/>
        <v>52.253708002399286</v>
      </c>
      <c r="O26" s="1">
        <f t="shared" si="5"/>
        <v>6102815.5300163934</v>
      </c>
      <c r="P26" s="1">
        <f t="shared" si="5"/>
        <v>5403792.6538253613</v>
      </c>
      <c r="Q26" s="1">
        <f t="shared" si="6"/>
        <v>105504.06</v>
      </c>
      <c r="R26" s="1">
        <f t="shared" si="6"/>
        <v>104601.54000000001</v>
      </c>
    </row>
    <row r="27" spans="1:18" x14ac:dyDescent="0.25">
      <c r="A27" s="1">
        <v>14</v>
      </c>
      <c r="B27" s="1">
        <v>270</v>
      </c>
      <c r="C27" s="1">
        <v>232</v>
      </c>
      <c r="D27" s="1">
        <v>205</v>
      </c>
      <c r="E27" s="1">
        <v>70</v>
      </c>
      <c r="F27" s="1">
        <f t="shared" si="7"/>
        <v>155</v>
      </c>
      <c r="G27" s="1">
        <f>(-(B33*(190-F27)-4.2926)*2)+17.9578</f>
        <v>26.542999999999999</v>
      </c>
      <c r="H27" s="1">
        <f t="shared" si="0"/>
        <v>553.05671646500002</v>
      </c>
      <c r="I27" s="1">
        <f t="shared" si="1"/>
        <v>2.6543000000000001E-2</v>
      </c>
      <c r="J27" s="1">
        <f t="shared" si="2"/>
        <v>5.5305671646500008E-4</v>
      </c>
      <c r="K27" s="1">
        <f t="shared" si="3"/>
        <v>103120.23</v>
      </c>
      <c r="L27" s="1">
        <f t="shared" si="3"/>
        <v>102747.45</v>
      </c>
      <c r="M27" s="1">
        <f t="shared" si="4"/>
        <v>54.699634368064963</v>
      </c>
      <c r="N27" s="1">
        <f t="shared" si="4"/>
        <v>48.690348119519491</v>
      </c>
      <c r="O27" s="1">
        <f t="shared" si="5"/>
        <v>5640638.8769507632</v>
      </c>
      <c r="P27" s="1">
        <f t="shared" si="5"/>
        <v>5020959.8968649171</v>
      </c>
      <c r="Q27" s="1">
        <f t="shared" si="6"/>
        <v>104915.45999999999</v>
      </c>
      <c r="R27" s="1">
        <f t="shared" si="6"/>
        <v>104169.9</v>
      </c>
    </row>
    <row r="28" spans="1:18" x14ac:dyDescent="0.25">
      <c r="A28" s="1">
        <v>15</v>
      </c>
      <c r="B28" s="1">
        <v>248</v>
      </c>
      <c r="C28" s="1">
        <v>216</v>
      </c>
      <c r="D28" s="1">
        <v>217</v>
      </c>
      <c r="E28" s="1">
        <v>83</v>
      </c>
      <c r="F28" s="1">
        <f t="shared" si="7"/>
        <v>167</v>
      </c>
      <c r="G28" s="1">
        <f>(-(B33*(190-F28)-4.2926)*2)+17.9578</f>
        <v>26.542999999999999</v>
      </c>
      <c r="H28" s="1">
        <f t="shared" si="0"/>
        <v>553.05671646500002</v>
      </c>
      <c r="I28" s="1">
        <f t="shared" si="1"/>
        <v>2.6543000000000001E-2</v>
      </c>
      <c r="J28" s="1">
        <f t="shared" si="2"/>
        <v>5.5305671646500008E-4</v>
      </c>
      <c r="K28" s="1">
        <f t="shared" si="3"/>
        <v>102904.41</v>
      </c>
      <c r="L28" s="1">
        <f t="shared" si="3"/>
        <v>102590.49</v>
      </c>
      <c r="M28" s="1">
        <f t="shared" si="4"/>
        <v>51.30643234527232</v>
      </c>
      <c r="N28" s="1">
        <f t="shared" si="4"/>
        <v>45.925483122118692</v>
      </c>
      <c r="O28" s="1">
        <f t="shared" si="5"/>
        <v>5279658.1496951645</v>
      </c>
      <c r="P28" s="1">
        <f>N28*$K28</f>
        <v>4725934.7446465818</v>
      </c>
      <c r="Q28" s="1">
        <f t="shared" si="6"/>
        <v>104483.82</v>
      </c>
      <c r="R28" s="1">
        <f t="shared" si="6"/>
        <v>103855.98000000001</v>
      </c>
    </row>
    <row r="29" spans="1:18" x14ac:dyDescent="0.25">
      <c r="A29" s="1">
        <v>16</v>
      </c>
      <c r="B29" s="1">
        <v>230</v>
      </c>
      <c r="C29" s="1">
        <v>200</v>
      </c>
      <c r="D29" s="1">
        <v>242</v>
      </c>
      <c r="E29" s="1">
        <v>108</v>
      </c>
      <c r="F29" s="1" t="s">
        <v>7</v>
      </c>
      <c r="G29" s="1">
        <v>26.542999999999999</v>
      </c>
      <c r="H29" s="1">
        <f t="shared" si="0"/>
        <v>553.05671646500002</v>
      </c>
      <c r="I29" s="1">
        <f t="shared" si="1"/>
        <v>2.6543000000000001E-2</v>
      </c>
      <c r="J29" s="1">
        <f t="shared" si="2"/>
        <v>5.5305671646500008E-4</v>
      </c>
      <c r="K29" s="1">
        <f t="shared" si="3"/>
        <v>102727.83</v>
      </c>
      <c r="L29" s="1">
        <f t="shared" si="3"/>
        <v>102433.53</v>
      </c>
      <c r="M29" s="1">
        <f t="shared" si="4"/>
        <v>48.353386644577469</v>
      </c>
      <c r="N29" s="1">
        <f t="shared" si="4"/>
        <v>42.983136228060395</v>
      </c>
      <c r="O29" s="1">
        <f t="shared" si="5"/>
        <v>4967238.4831484249</v>
      </c>
      <c r="P29" s="1">
        <f t="shared" si="5"/>
        <v>4415564.3113030298</v>
      </c>
      <c r="Q29" s="1">
        <f t="shared" si="6"/>
        <v>104130.66</v>
      </c>
      <c r="R29" s="1">
        <f t="shared" si="6"/>
        <v>103542.06</v>
      </c>
    </row>
  </sheetData>
  <pageMargins left="0.25" right="0.25" top="0.75" bottom="0.75" header="0.3" footer="0.3"/>
  <pageSetup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B5" sqref="B5"/>
    </sheetView>
  </sheetViews>
  <sheetFormatPr defaultRowHeight="15" x14ac:dyDescent="0.25"/>
  <sheetData>
    <row r="1" spans="1:3" x14ac:dyDescent="0.25">
      <c r="A1">
        <v>1</v>
      </c>
      <c r="B1">
        <v>102237.3</v>
      </c>
      <c r="C1">
        <v>102237.33</v>
      </c>
    </row>
    <row r="2" spans="1:3" x14ac:dyDescent="0.25">
      <c r="A2">
        <v>2</v>
      </c>
      <c r="B2">
        <v>102237.3</v>
      </c>
      <c r="C2">
        <v>102237.33</v>
      </c>
    </row>
    <row r="3" spans="1:3" x14ac:dyDescent="0.25">
      <c r="A3">
        <v>3</v>
      </c>
      <c r="B3">
        <v>102257</v>
      </c>
      <c r="C3">
        <v>102257.05439999999</v>
      </c>
    </row>
    <row r="4" spans="1:3" x14ac:dyDescent="0.25">
      <c r="A4">
        <v>4</v>
      </c>
      <c r="B4">
        <v>102492.4</v>
      </c>
      <c r="C4">
        <v>102508.0897</v>
      </c>
    </row>
    <row r="5" spans="1:3" x14ac:dyDescent="0.25">
      <c r="A5">
        <v>5</v>
      </c>
      <c r="B5">
        <v>102708.2</v>
      </c>
      <c r="C5">
        <v>102757.02439999999</v>
      </c>
    </row>
    <row r="6" spans="1:3" x14ac:dyDescent="0.25">
      <c r="A6">
        <v>6</v>
      </c>
      <c r="B6">
        <v>103159.5</v>
      </c>
      <c r="C6">
        <v>103318.88370000001</v>
      </c>
    </row>
    <row r="7" spans="1:3" x14ac:dyDescent="0.25">
      <c r="A7">
        <v>7</v>
      </c>
      <c r="B7">
        <v>103669.6</v>
      </c>
      <c r="C7">
        <v>104001.41869999999</v>
      </c>
    </row>
    <row r="8" spans="1:3" x14ac:dyDescent="0.25">
      <c r="A8">
        <v>8</v>
      </c>
      <c r="B8">
        <v>104474</v>
      </c>
      <c r="C8">
        <v>105145.4023</v>
      </c>
    </row>
    <row r="9" spans="1:3" x14ac:dyDescent="0.25">
      <c r="A9">
        <v>9</v>
      </c>
      <c r="B9">
        <v>106161.3</v>
      </c>
      <c r="C9">
        <v>107708.8811</v>
      </c>
    </row>
    <row r="10" spans="1:3" x14ac:dyDescent="0.25">
      <c r="A10">
        <v>10</v>
      </c>
      <c r="B10">
        <v>105670.8</v>
      </c>
      <c r="C10">
        <v>106946.6133</v>
      </c>
    </row>
    <row r="11" spans="1:3" x14ac:dyDescent="0.25">
      <c r="A11">
        <v>11</v>
      </c>
      <c r="B11">
        <v>104415.2</v>
      </c>
      <c r="C11">
        <v>105059.5135</v>
      </c>
    </row>
    <row r="12" spans="1:3" x14ac:dyDescent="0.25">
      <c r="A12">
        <v>12</v>
      </c>
      <c r="B12">
        <v>103963.9</v>
      </c>
      <c r="C12">
        <v>104411.861</v>
      </c>
    </row>
    <row r="13" spans="1:3" x14ac:dyDescent="0.25">
      <c r="A13">
        <v>13</v>
      </c>
      <c r="B13">
        <v>103414.5</v>
      </c>
      <c r="C13">
        <v>103654.98390000001</v>
      </c>
    </row>
    <row r="14" spans="1:3" x14ac:dyDescent="0.25">
      <c r="A14">
        <v>14</v>
      </c>
      <c r="B14">
        <v>103120.2</v>
      </c>
      <c r="C14">
        <v>103268.2258</v>
      </c>
    </row>
    <row r="15" spans="1:3" x14ac:dyDescent="0.25">
      <c r="A15">
        <v>15</v>
      </c>
      <c r="B15">
        <v>102904.4</v>
      </c>
      <c r="C15">
        <v>102995.3642</v>
      </c>
    </row>
    <row r="16" spans="1:3" x14ac:dyDescent="0.25">
      <c r="A16">
        <v>16</v>
      </c>
      <c r="B16">
        <v>102727.8</v>
      </c>
      <c r="C16">
        <v>102780.3863</v>
      </c>
    </row>
    <row r="19" spans="1:3" x14ac:dyDescent="0.25">
      <c r="A19" s="4">
        <v>1</v>
      </c>
      <c r="B19" s="5">
        <v>102060.75</v>
      </c>
      <c r="C19" s="4">
        <v>102070.2369</v>
      </c>
    </row>
    <row r="20" spans="1:3" x14ac:dyDescent="0.25">
      <c r="A20" s="4">
        <v>2</v>
      </c>
      <c r="B20" s="5">
        <v>102060.75</v>
      </c>
      <c r="C20" s="4">
        <v>102070.2369</v>
      </c>
    </row>
    <row r="21" spans="1:3" x14ac:dyDescent="0.25">
      <c r="A21" s="4">
        <v>3</v>
      </c>
      <c r="B21" s="5">
        <v>102080.37</v>
      </c>
      <c r="C21" s="4">
        <v>102087.77280000001</v>
      </c>
    </row>
    <row r="22" spans="1:3" x14ac:dyDescent="0.25">
      <c r="A22" s="4">
        <v>4</v>
      </c>
      <c r="B22" s="5">
        <v>102256.95</v>
      </c>
      <c r="C22" s="4">
        <v>102257.05439999999</v>
      </c>
    </row>
    <row r="23" spans="1:3" x14ac:dyDescent="0.25">
      <c r="A23" s="4">
        <v>5</v>
      </c>
      <c r="B23" s="5">
        <v>102413.91</v>
      </c>
      <c r="C23" s="4">
        <v>102421.71550000001</v>
      </c>
    </row>
    <row r="24" spans="1:3" x14ac:dyDescent="0.25">
      <c r="A24" s="4">
        <v>6</v>
      </c>
      <c r="B24" s="5">
        <v>102767.07</v>
      </c>
      <c r="C24" s="4">
        <v>102827.4397</v>
      </c>
    </row>
    <row r="25" spans="1:3" x14ac:dyDescent="0.25">
      <c r="A25" s="4">
        <v>7</v>
      </c>
      <c r="B25" s="5">
        <v>103159.47</v>
      </c>
      <c r="C25" s="4">
        <v>103318.88370000001</v>
      </c>
    </row>
    <row r="26" spans="1:3" x14ac:dyDescent="0.25">
      <c r="A26" s="4">
        <v>8</v>
      </c>
      <c r="B26" s="5">
        <v>103767.69</v>
      </c>
      <c r="C26" s="4">
        <v>104137.0514</v>
      </c>
    </row>
    <row r="27" spans="1:3" x14ac:dyDescent="0.25">
      <c r="A27" s="4">
        <v>9</v>
      </c>
      <c r="B27" s="5">
        <v>105062.61</v>
      </c>
      <c r="C27" s="4">
        <v>106019.34880000001</v>
      </c>
    </row>
    <row r="28" spans="1:3" x14ac:dyDescent="0.25">
      <c r="A28" s="4">
        <v>10</v>
      </c>
      <c r="B28" s="5">
        <v>104827.17</v>
      </c>
      <c r="C28" s="4">
        <v>105666.682</v>
      </c>
    </row>
    <row r="29" spans="1:3" x14ac:dyDescent="0.25">
      <c r="A29" s="4">
        <v>11</v>
      </c>
      <c r="B29" s="5">
        <v>103748.07</v>
      </c>
      <c r="C29" s="4">
        <v>104109.82610000001</v>
      </c>
    </row>
    <row r="30" spans="1:3" x14ac:dyDescent="0.25">
      <c r="A30" s="4">
        <v>12</v>
      </c>
      <c r="B30" s="5">
        <v>103414.53</v>
      </c>
      <c r="C30" s="4">
        <v>103654.98390000001</v>
      </c>
    </row>
    <row r="31" spans="1:3" x14ac:dyDescent="0.25">
      <c r="A31" s="4">
        <v>13</v>
      </c>
      <c r="B31" s="5">
        <v>102963.27</v>
      </c>
      <c r="C31" s="4">
        <v>103068.7582</v>
      </c>
    </row>
    <row r="32" spans="1:3" x14ac:dyDescent="0.25">
      <c r="A32" s="4">
        <v>14</v>
      </c>
      <c r="B32" s="5">
        <v>102747.45</v>
      </c>
      <c r="C32" s="4">
        <v>102803.8588</v>
      </c>
    </row>
    <row r="33" spans="1:3" x14ac:dyDescent="0.25">
      <c r="A33" s="4">
        <v>15</v>
      </c>
      <c r="B33" s="5">
        <v>102590.49</v>
      </c>
      <c r="C33" s="4">
        <v>102619.31540000001</v>
      </c>
    </row>
    <row r="34" spans="1:3" x14ac:dyDescent="0.25">
      <c r="A34" s="4">
        <v>16</v>
      </c>
      <c r="B34" s="5">
        <v>102433.53</v>
      </c>
      <c r="C34" s="4">
        <v>102443.0768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Madi Green</cp:lastModifiedBy>
  <cp:lastPrinted>2015-03-09T05:08:58Z</cp:lastPrinted>
  <dcterms:created xsi:type="dcterms:W3CDTF">2015-03-06T02:38:14Z</dcterms:created>
  <dcterms:modified xsi:type="dcterms:W3CDTF">2015-03-10T15:00:49Z</dcterms:modified>
</cp:coreProperties>
</file>